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jwylie\Documents\AAFTA Match Data\Templates\"/>
    </mc:Choice>
  </mc:AlternateContent>
  <xr:revisionPtr revIDLastSave="0" documentId="13_ncr:1_{D460BA0A-EA47-499B-BD78-159C6684CEE7}" xr6:coauthVersionLast="47" xr6:coauthVersionMax="47" xr10:uidLastSave="{00000000-0000-0000-0000-000000000000}"/>
  <workbookProtection workbookAlgorithmName="SHA-512" workbookHashValue="7dCSAG3V85ItYYWnXe0DPEHlrpQ9SSaHhw0ZzGnDLwLSNc9P8wDS0fpjFoqaLnBtm6I84IvP2dAt7DPzv3b0hQ==" workbookSaltValue="xzQoms5coRl6oesw3mFH7Q==" workbookSpinCount="100000" lockStructure="1"/>
  <bookViews>
    <workbookView xWindow="-28920" yWindow="-555" windowWidth="29040" windowHeight="15840" tabRatio="574" firstSheet="1" activeTab="1" xr2:uid="{00000000-000D-0000-FFFF-FFFF00000000}"/>
  </bookViews>
  <sheets>
    <sheet name="Selection Lists" sheetId="9" state="hidden" r:id="rId1"/>
    <sheet name="Match Info" sheetId="10" r:id="rId2"/>
    <sheet name="Pistol Course" sheetId="23" r:id="rId3"/>
    <sheet name="Rifle Course 1" sheetId="17" r:id="rId4"/>
    <sheet name="Rifle Course 2" sheetId="21" r:id="rId5"/>
    <sheet name="Rifle Course 3" sheetId="22" r:id="rId6"/>
    <sheet name="Rifle Troyer" sheetId="7" r:id="rId7"/>
    <sheet name="Pistol Troyer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8" i="23" l="1"/>
  <c r="N94" i="23"/>
  <c r="M96" i="22"/>
  <c r="M96" i="17"/>
  <c r="M96" i="21"/>
  <c r="N6" i="23"/>
  <c r="N7" i="23"/>
  <c r="N8" i="23"/>
  <c r="N9" i="23"/>
  <c r="N10" i="23"/>
  <c r="N11" i="23"/>
  <c r="N12" i="23"/>
  <c r="N13" i="23"/>
  <c r="N14" i="23"/>
  <c r="N15" i="23"/>
  <c r="N16" i="23"/>
  <c r="N17" i="23"/>
  <c r="N18" i="23"/>
  <c r="N19" i="23"/>
  <c r="N20" i="23"/>
  <c r="N21" i="23"/>
  <c r="N22" i="23"/>
  <c r="N23" i="23"/>
  <c r="N24" i="23"/>
  <c r="N25" i="23"/>
  <c r="N26" i="23"/>
  <c r="N27" i="23"/>
  <c r="N28" i="23"/>
  <c r="N29" i="23"/>
  <c r="N30" i="23"/>
  <c r="N31" i="23"/>
  <c r="N32" i="23"/>
  <c r="N33" i="23"/>
  <c r="N34" i="23"/>
  <c r="N35" i="23"/>
  <c r="N36" i="23"/>
  <c r="N37" i="23"/>
  <c r="N38" i="23"/>
  <c r="N39" i="23"/>
  <c r="N40" i="23"/>
  <c r="N41" i="23"/>
  <c r="N42" i="23"/>
  <c r="N43" i="23"/>
  <c r="N44" i="23"/>
  <c r="N45" i="23"/>
  <c r="N46" i="23"/>
  <c r="N47" i="23"/>
  <c r="N48" i="23"/>
  <c r="N49" i="23"/>
  <c r="N50" i="23"/>
  <c r="N51" i="23"/>
  <c r="N52" i="23"/>
  <c r="N53" i="23"/>
  <c r="N54" i="23"/>
  <c r="N55" i="23"/>
  <c r="N56" i="23"/>
  <c r="N57" i="23"/>
  <c r="N58" i="23"/>
  <c r="N59" i="23"/>
  <c r="N60" i="23"/>
  <c r="N61" i="23"/>
  <c r="N62" i="23"/>
  <c r="N63" i="23"/>
  <c r="N64" i="23"/>
  <c r="N65" i="23"/>
  <c r="N66" i="23"/>
  <c r="N67" i="23"/>
  <c r="N68" i="23"/>
  <c r="N69" i="23"/>
  <c r="N70" i="23"/>
  <c r="N71" i="23"/>
  <c r="N72" i="23"/>
  <c r="N73" i="23"/>
  <c r="N74" i="23"/>
  <c r="N75" i="23"/>
  <c r="N76" i="23"/>
  <c r="N77" i="23"/>
  <c r="N78" i="23"/>
  <c r="N79" i="23"/>
  <c r="N80" i="23"/>
  <c r="N81" i="23"/>
  <c r="N82" i="23"/>
  <c r="N83" i="23"/>
  <c r="N84" i="23"/>
  <c r="N85" i="23"/>
  <c r="N86" i="23"/>
  <c r="N87" i="23"/>
  <c r="N88" i="23"/>
  <c r="N89" i="23"/>
  <c r="N90" i="23"/>
  <c r="N91" i="23"/>
  <c r="N92" i="23"/>
  <c r="N93" i="23"/>
  <c r="M5" i="23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21" i="23"/>
  <c r="M22" i="23"/>
  <c r="M23" i="23"/>
  <c r="M24" i="23"/>
  <c r="M25" i="23"/>
  <c r="M26" i="23"/>
  <c r="M27" i="23"/>
  <c r="M28" i="23"/>
  <c r="M29" i="23"/>
  <c r="M30" i="23"/>
  <c r="M31" i="23"/>
  <c r="M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45" i="23"/>
  <c r="M46" i="23"/>
  <c r="M47" i="23"/>
  <c r="M48" i="23"/>
  <c r="M49" i="23"/>
  <c r="M50" i="23"/>
  <c r="M51" i="23"/>
  <c r="M52" i="23"/>
  <c r="M53" i="23"/>
  <c r="M54" i="23"/>
  <c r="M55" i="23"/>
  <c r="M56" i="23"/>
  <c r="M57" i="23"/>
  <c r="M58" i="23"/>
  <c r="M59" i="23"/>
  <c r="M60" i="23"/>
  <c r="M61" i="23"/>
  <c r="M62" i="23"/>
  <c r="M63" i="23"/>
  <c r="M64" i="23"/>
  <c r="M65" i="23"/>
  <c r="M66" i="23"/>
  <c r="M67" i="23"/>
  <c r="M68" i="23"/>
  <c r="M69" i="23"/>
  <c r="M70" i="23"/>
  <c r="M71" i="23"/>
  <c r="M72" i="23"/>
  <c r="M73" i="23"/>
  <c r="M74" i="23"/>
  <c r="M75" i="23"/>
  <c r="M76" i="23"/>
  <c r="M77" i="23"/>
  <c r="M78" i="23"/>
  <c r="M79" i="23"/>
  <c r="M80" i="23"/>
  <c r="M81" i="23"/>
  <c r="M82" i="23"/>
  <c r="M83" i="23"/>
  <c r="M84" i="23"/>
  <c r="M85" i="23"/>
  <c r="M86" i="23"/>
  <c r="M87" i="23"/>
  <c r="M88" i="23"/>
  <c r="M89" i="23"/>
  <c r="M90" i="23"/>
  <c r="M91" i="23"/>
  <c r="M92" i="23"/>
  <c r="M93" i="23"/>
  <c r="L5" i="23"/>
  <c r="N5" i="23" s="1"/>
  <c r="L6" i="23"/>
  <c r="L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M4" i="23"/>
  <c r="L4" i="23"/>
  <c r="N4" i="23" s="1"/>
  <c r="M96" i="23"/>
  <c r="K4" i="10" s="1"/>
  <c r="M95" i="23"/>
  <c r="K3" i="10" s="1"/>
  <c r="M94" i="23"/>
  <c r="K2" i="10" s="1"/>
  <c r="M98" i="23" l="1"/>
  <c r="L2" i="10"/>
  <c r="M99" i="23"/>
  <c r="K7" i="10" s="1"/>
  <c r="M97" i="23"/>
  <c r="K5" i="10" s="1"/>
  <c r="F22" i="10"/>
  <c r="F13" i="10"/>
  <c r="M98" i="22"/>
  <c r="F26" i="10" s="1"/>
  <c r="M97" i="22"/>
  <c r="F25" i="10" s="1"/>
  <c r="M95" i="22"/>
  <c r="N96" i="22" s="1"/>
  <c r="G24" i="10" s="1"/>
  <c r="M94" i="22"/>
  <c r="N94" i="22" s="1"/>
  <c r="G22" i="10" s="1"/>
  <c r="N93" i="22"/>
  <c r="M93" i="22"/>
  <c r="L93" i="22"/>
  <c r="M92" i="22"/>
  <c r="L92" i="22"/>
  <c r="N92" i="22" s="1"/>
  <c r="M91" i="22"/>
  <c r="L91" i="22"/>
  <c r="N91" i="22" s="1"/>
  <c r="M90" i="22"/>
  <c r="L90" i="22"/>
  <c r="N90" i="22" s="1"/>
  <c r="N89" i="22"/>
  <c r="M89" i="22"/>
  <c r="L89" i="22"/>
  <c r="M88" i="22"/>
  <c r="L88" i="22"/>
  <c r="N88" i="22" s="1"/>
  <c r="M87" i="22"/>
  <c r="L87" i="22"/>
  <c r="N87" i="22" s="1"/>
  <c r="M86" i="22"/>
  <c r="L86" i="22"/>
  <c r="N86" i="22" s="1"/>
  <c r="N85" i="22"/>
  <c r="M85" i="22"/>
  <c r="L85" i="22"/>
  <c r="M84" i="22"/>
  <c r="L84" i="22"/>
  <c r="N84" i="22" s="1"/>
  <c r="M83" i="22"/>
  <c r="L83" i="22"/>
  <c r="N83" i="22" s="1"/>
  <c r="M82" i="22"/>
  <c r="L82" i="22"/>
  <c r="N82" i="22" s="1"/>
  <c r="N81" i="22"/>
  <c r="M81" i="22"/>
  <c r="L81" i="22"/>
  <c r="M80" i="22"/>
  <c r="L80" i="22"/>
  <c r="N80" i="22" s="1"/>
  <c r="M79" i="22"/>
  <c r="L79" i="22"/>
  <c r="N79" i="22" s="1"/>
  <c r="M78" i="22"/>
  <c r="L78" i="22"/>
  <c r="N78" i="22" s="1"/>
  <c r="N77" i="22"/>
  <c r="M77" i="22"/>
  <c r="L77" i="22"/>
  <c r="M76" i="22"/>
  <c r="L76" i="22"/>
  <c r="N76" i="22" s="1"/>
  <c r="M75" i="22"/>
  <c r="L75" i="22"/>
  <c r="N75" i="22" s="1"/>
  <c r="M74" i="22"/>
  <c r="L74" i="22"/>
  <c r="N74" i="22" s="1"/>
  <c r="N73" i="22"/>
  <c r="M73" i="22"/>
  <c r="L73" i="22"/>
  <c r="M72" i="22"/>
  <c r="L72" i="22"/>
  <c r="N72" i="22" s="1"/>
  <c r="M71" i="22"/>
  <c r="L71" i="22"/>
  <c r="N71" i="22" s="1"/>
  <c r="M70" i="22"/>
  <c r="L70" i="22"/>
  <c r="N70" i="22" s="1"/>
  <c r="N69" i="22"/>
  <c r="M69" i="22"/>
  <c r="L69" i="22"/>
  <c r="M68" i="22"/>
  <c r="L68" i="22"/>
  <c r="N68" i="22" s="1"/>
  <c r="M67" i="22"/>
  <c r="L67" i="22"/>
  <c r="N67" i="22" s="1"/>
  <c r="M66" i="22"/>
  <c r="L66" i="22"/>
  <c r="N66" i="22" s="1"/>
  <c r="N65" i="22"/>
  <c r="M65" i="22"/>
  <c r="L65" i="22"/>
  <c r="M64" i="22"/>
  <c r="L64" i="22"/>
  <c r="N64" i="22" s="1"/>
  <c r="M63" i="22"/>
  <c r="L63" i="22"/>
  <c r="N63" i="22" s="1"/>
  <c r="M62" i="22"/>
  <c r="L62" i="22"/>
  <c r="N62" i="22" s="1"/>
  <c r="N61" i="22"/>
  <c r="M61" i="22"/>
  <c r="L61" i="22"/>
  <c r="M60" i="22"/>
  <c r="L60" i="22"/>
  <c r="N60" i="22" s="1"/>
  <c r="M59" i="22"/>
  <c r="L59" i="22"/>
  <c r="N59" i="22" s="1"/>
  <c r="M58" i="22"/>
  <c r="L58" i="22"/>
  <c r="N58" i="22" s="1"/>
  <c r="N57" i="22"/>
  <c r="M57" i="22"/>
  <c r="L57" i="22"/>
  <c r="M56" i="22"/>
  <c r="L56" i="22"/>
  <c r="N56" i="22" s="1"/>
  <c r="M55" i="22"/>
  <c r="L55" i="22"/>
  <c r="N55" i="22" s="1"/>
  <c r="M54" i="22"/>
  <c r="L54" i="22"/>
  <c r="N54" i="22" s="1"/>
  <c r="N53" i="22"/>
  <c r="M53" i="22"/>
  <c r="L53" i="22"/>
  <c r="M52" i="22"/>
  <c r="L52" i="22"/>
  <c r="N52" i="22" s="1"/>
  <c r="M51" i="22"/>
  <c r="L51" i="22"/>
  <c r="N51" i="22" s="1"/>
  <c r="M50" i="22"/>
  <c r="L50" i="22"/>
  <c r="N50" i="22" s="1"/>
  <c r="N49" i="22"/>
  <c r="M49" i="22"/>
  <c r="L49" i="22"/>
  <c r="M48" i="22"/>
  <c r="L48" i="22"/>
  <c r="N48" i="22" s="1"/>
  <c r="M47" i="22"/>
  <c r="L47" i="22"/>
  <c r="N47" i="22" s="1"/>
  <c r="M46" i="22"/>
  <c r="L46" i="22"/>
  <c r="N46" i="22" s="1"/>
  <c r="N45" i="22"/>
  <c r="M45" i="22"/>
  <c r="L45" i="22"/>
  <c r="M44" i="22"/>
  <c r="L44" i="22"/>
  <c r="N44" i="22" s="1"/>
  <c r="M43" i="22"/>
  <c r="L43" i="22"/>
  <c r="N43" i="22" s="1"/>
  <c r="M42" i="22"/>
  <c r="L42" i="22"/>
  <c r="N42" i="22" s="1"/>
  <c r="N41" i="22"/>
  <c r="M41" i="22"/>
  <c r="L41" i="22"/>
  <c r="M40" i="22"/>
  <c r="L40" i="22"/>
  <c r="N40" i="22" s="1"/>
  <c r="M39" i="22"/>
  <c r="L39" i="22"/>
  <c r="N39" i="22" s="1"/>
  <c r="M38" i="22"/>
  <c r="L38" i="22"/>
  <c r="N38" i="22" s="1"/>
  <c r="N37" i="22"/>
  <c r="M37" i="22"/>
  <c r="L37" i="22"/>
  <c r="M36" i="22"/>
  <c r="L36" i="22"/>
  <c r="N36" i="22" s="1"/>
  <c r="M35" i="22"/>
  <c r="L35" i="22"/>
  <c r="N35" i="22" s="1"/>
  <c r="M34" i="22"/>
  <c r="L34" i="22"/>
  <c r="N34" i="22" s="1"/>
  <c r="N33" i="22"/>
  <c r="M33" i="22"/>
  <c r="L33" i="22"/>
  <c r="M32" i="22"/>
  <c r="L32" i="22"/>
  <c r="N32" i="22" s="1"/>
  <c r="M31" i="22"/>
  <c r="L31" i="22"/>
  <c r="N31" i="22" s="1"/>
  <c r="M30" i="22"/>
  <c r="L30" i="22"/>
  <c r="N30" i="22" s="1"/>
  <c r="N29" i="22"/>
  <c r="M29" i="22"/>
  <c r="L29" i="22"/>
  <c r="M28" i="22"/>
  <c r="L28" i="22"/>
  <c r="N28" i="22" s="1"/>
  <c r="M27" i="22"/>
  <c r="L27" i="22"/>
  <c r="N27" i="22" s="1"/>
  <c r="M26" i="22"/>
  <c r="L26" i="22"/>
  <c r="N26" i="22" s="1"/>
  <c r="N25" i="22"/>
  <c r="M25" i="22"/>
  <c r="L25" i="22"/>
  <c r="M24" i="22"/>
  <c r="L24" i="22"/>
  <c r="N24" i="22" s="1"/>
  <c r="M23" i="22"/>
  <c r="L23" i="22"/>
  <c r="N23" i="22" s="1"/>
  <c r="M22" i="22"/>
  <c r="L22" i="22"/>
  <c r="N22" i="22" s="1"/>
  <c r="N21" i="22"/>
  <c r="M21" i="22"/>
  <c r="L21" i="22"/>
  <c r="M20" i="22"/>
  <c r="L20" i="22"/>
  <c r="N20" i="22" s="1"/>
  <c r="M19" i="22"/>
  <c r="L19" i="22"/>
  <c r="N19" i="22" s="1"/>
  <c r="M18" i="22"/>
  <c r="L18" i="22"/>
  <c r="N18" i="22" s="1"/>
  <c r="N17" i="22"/>
  <c r="M17" i="22"/>
  <c r="L17" i="22"/>
  <c r="M16" i="22"/>
  <c r="L16" i="22"/>
  <c r="N16" i="22" s="1"/>
  <c r="M15" i="22"/>
  <c r="L15" i="22"/>
  <c r="N15" i="22" s="1"/>
  <c r="M14" i="22"/>
  <c r="L14" i="22"/>
  <c r="N14" i="22" s="1"/>
  <c r="N13" i="22"/>
  <c r="M13" i="22"/>
  <c r="L13" i="22"/>
  <c r="M12" i="22"/>
  <c r="L12" i="22"/>
  <c r="N12" i="22" s="1"/>
  <c r="M11" i="22"/>
  <c r="L11" i="22"/>
  <c r="N11" i="22" s="1"/>
  <c r="M10" i="22"/>
  <c r="L10" i="22"/>
  <c r="N10" i="22" s="1"/>
  <c r="N9" i="22"/>
  <c r="M9" i="22"/>
  <c r="L9" i="22"/>
  <c r="M8" i="22"/>
  <c r="L8" i="22"/>
  <c r="N8" i="22" s="1"/>
  <c r="M7" i="22"/>
  <c r="L7" i="22"/>
  <c r="N7" i="22" s="1"/>
  <c r="M6" i="22"/>
  <c r="L6" i="22"/>
  <c r="N6" i="22" s="1"/>
  <c r="M5" i="22"/>
  <c r="L5" i="22"/>
  <c r="N5" i="22" s="1"/>
  <c r="M4" i="22"/>
  <c r="M101" i="22" s="1"/>
  <c r="F29" i="10" s="1"/>
  <c r="L4" i="22"/>
  <c r="M98" i="21"/>
  <c r="F16" i="10" s="1"/>
  <c r="M97" i="21"/>
  <c r="F15" i="10" s="1"/>
  <c r="M95" i="21"/>
  <c r="M94" i="21"/>
  <c r="N94" i="21" s="1"/>
  <c r="G12" i="10" s="1"/>
  <c r="N93" i="21"/>
  <c r="M93" i="21"/>
  <c r="L93" i="21"/>
  <c r="N92" i="21"/>
  <c r="M92" i="21"/>
  <c r="L92" i="21"/>
  <c r="M91" i="21"/>
  <c r="L91" i="21"/>
  <c r="N91" i="21" s="1"/>
  <c r="M90" i="21"/>
  <c r="L90" i="21"/>
  <c r="N90" i="21" s="1"/>
  <c r="N89" i="21"/>
  <c r="M89" i="21"/>
  <c r="L89" i="21"/>
  <c r="N88" i="21"/>
  <c r="M88" i="21"/>
  <c r="L88" i="21"/>
  <c r="M87" i="21"/>
  <c r="L87" i="21"/>
  <c r="N87" i="21" s="1"/>
  <c r="M86" i="21"/>
  <c r="L86" i="21"/>
  <c r="N86" i="21" s="1"/>
  <c r="N85" i="21"/>
  <c r="M85" i="21"/>
  <c r="L85" i="21"/>
  <c r="N84" i="21"/>
  <c r="M84" i="21"/>
  <c r="L84" i="21"/>
  <c r="M83" i="21"/>
  <c r="L83" i="21"/>
  <c r="N83" i="21" s="1"/>
  <c r="M82" i="21"/>
  <c r="L82" i="21"/>
  <c r="N82" i="21" s="1"/>
  <c r="N81" i="21"/>
  <c r="M81" i="21"/>
  <c r="L81" i="21"/>
  <c r="N80" i="21"/>
  <c r="M80" i="21"/>
  <c r="L80" i="21"/>
  <c r="M79" i="21"/>
  <c r="L79" i="21"/>
  <c r="N79" i="21" s="1"/>
  <c r="M78" i="21"/>
  <c r="L78" i="21"/>
  <c r="N78" i="21" s="1"/>
  <c r="N77" i="21"/>
  <c r="M77" i="21"/>
  <c r="L77" i="21"/>
  <c r="N76" i="21"/>
  <c r="M76" i="21"/>
  <c r="L76" i="21"/>
  <c r="M75" i="21"/>
  <c r="L75" i="21"/>
  <c r="N75" i="21" s="1"/>
  <c r="M74" i="21"/>
  <c r="L74" i="21"/>
  <c r="N74" i="21" s="1"/>
  <c r="N73" i="21"/>
  <c r="M73" i="21"/>
  <c r="L73" i="21"/>
  <c r="N72" i="21"/>
  <c r="M72" i="21"/>
  <c r="L72" i="21"/>
  <c r="M71" i="21"/>
  <c r="L71" i="21"/>
  <c r="N71" i="21" s="1"/>
  <c r="M70" i="21"/>
  <c r="L70" i="21"/>
  <c r="N70" i="21" s="1"/>
  <c r="N69" i="21"/>
  <c r="M69" i="21"/>
  <c r="L69" i="21"/>
  <c r="N68" i="21"/>
  <c r="M68" i="21"/>
  <c r="L68" i="21"/>
  <c r="M67" i="21"/>
  <c r="L67" i="21"/>
  <c r="N67" i="21" s="1"/>
  <c r="M66" i="21"/>
  <c r="L66" i="21"/>
  <c r="N66" i="21" s="1"/>
  <c r="N65" i="21"/>
  <c r="M65" i="21"/>
  <c r="L65" i="21"/>
  <c r="N64" i="21"/>
  <c r="M64" i="21"/>
  <c r="L64" i="21"/>
  <c r="M63" i="21"/>
  <c r="L63" i="21"/>
  <c r="N63" i="21" s="1"/>
  <c r="M62" i="21"/>
  <c r="L62" i="21"/>
  <c r="N62" i="21" s="1"/>
  <c r="N61" i="21"/>
  <c r="M61" i="21"/>
  <c r="L61" i="21"/>
  <c r="N60" i="21"/>
  <c r="M60" i="21"/>
  <c r="L60" i="21"/>
  <c r="M59" i="21"/>
  <c r="L59" i="21"/>
  <c r="N59" i="21" s="1"/>
  <c r="M58" i="21"/>
  <c r="L58" i="21"/>
  <c r="N58" i="21" s="1"/>
  <c r="N57" i="21"/>
  <c r="M57" i="21"/>
  <c r="L57" i="21"/>
  <c r="N56" i="21"/>
  <c r="M56" i="21"/>
  <c r="L56" i="21"/>
  <c r="M55" i="21"/>
  <c r="L55" i="21"/>
  <c r="N55" i="21" s="1"/>
  <c r="M54" i="21"/>
  <c r="L54" i="21"/>
  <c r="N54" i="21" s="1"/>
  <c r="N53" i="21"/>
  <c r="M53" i="21"/>
  <c r="L53" i="21"/>
  <c r="N52" i="21"/>
  <c r="M52" i="21"/>
  <c r="L52" i="21"/>
  <c r="M51" i="21"/>
  <c r="L51" i="21"/>
  <c r="N51" i="21" s="1"/>
  <c r="M50" i="21"/>
  <c r="L50" i="21"/>
  <c r="N50" i="21" s="1"/>
  <c r="N49" i="21"/>
  <c r="M49" i="21"/>
  <c r="L49" i="21"/>
  <c r="N48" i="21"/>
  <c r="M48" i="21"/>
  <c r="L48" i="21"/>
  <c r="M47" i="21"/>
  <c r="L47" i="21"/>
  <c r="N47" i="21" s="1"/>
  <c r="M46" i="21"/>
  <c r="L46" i="21"/>
  <c r="N46" i="21" s="1"/>
  <c r="N45" i="21"/>
  <c r="M45" i="21"/>
  <c r="L45" i="21"/>
  <c r="N44" i="21"/>
  <c r="M44" i="21"/>
  <c r="L44" i="21"/>
  <c r="M43" i="21"/>
  <c r="L43" i="21"/>
  <c r="N43" i="21" s="1"/>
  <c r="M42" i="21"/>
  <c r="L42" i="21"/>
  <c r="N42" i="21" s="1"/>
  <c r="N41" i="21"/>
  <c r="M41" i="21"/>
  <c r="L41" i="21"/>
  <c r="N40" i="21"/>
  <c r="M40" i="21"/>
  <c r="L40" i="21"/>
  <c r="M39" i="21"/>
  <c r="L39" i="21"/>
  <c r="N39" i="21" s="1"/>
  <c r="M38" i="21"/>
  <c r="L38" i="21"/>
  <c r="N38" i="21" s="1"/>
  <c r="N37" i="21"/>
  <c r="M37" i="21"/>
  <c r="L37" i="21"/>
  <c r="N36" i="21"/>
  <c r="M36" i="21"/>
  <c r="L36" i="21"/>
  <c r="M35" i="21"/>
  <c r="L35" i="21"/>
  <c r="N35" i="21" s="1"/>
  <c r="M34" i="21"/>
  <c r="L34" i="21"/>
  <c r="N34" i="21" s="1"/>
  <c r="N33" i="21"/>
  <c r="M33" i="21"/>
  <c r="L33" i="21"/>
  <c r="N32" i="21"/>
  <c r="M32" i="21"/>
  <c r="L32" i="21"/>
  <c r="M31" i="21"/>
  <c r="L31" i="21"/>
  <c r="N31" i="21" s="1"/>
  <c r="M30" i="21"/>
  <c r="L30" i="21"/>
  <c r="N30" i="21" s="1"/>
  <c r="N29" i="21"/>
  <c r="M29" i="21"/>
  <c r="L29" i="21"/>
  <c r="N28" i="21"/>
  <c r="M28" i="21"/>
  <c r="L28" i="21"/>
  <c r="M27" i="21"/>
  <c r="L27" i="21"/>
  <c r="N27" i="21" s="1"/>
  <c r="M26" i="21"/>
  <c r="L26" i="21"/>
  <c r="N26" i="21" s="1"/>
  <c r="N25" i="21"/>
  <c r="M25" i="21"/>
  <c r="L25" i="21"/>
  <c r="N24" i="21"/>
  <c r="M24" i="21"/>
  <c r="L24" i="21"/>
  <c r="M23" i="21"/>
  <c r="L23" i="21"/>
  <c r="N23" i="21" s="1"/>
  <c r="M22" i="21"/>
  <c r="L22" i="21"/>
  <c r="N22" i="21" s="1"/>
  <c r="N21" i="21"/>
  <c r="M21" i="21"/>
  <c r="L21" i="21"/>
  <c r="N20" i="21"/>
  <c r="M20" i="21"/>
  <c r="L20" i="21"/>
  <c r="M19" i="21"/>
  <c r="L19" i="21"/>
  <c r="N19" i="21" s="1"/>
  <c r="M18" i="21"/>
  <c r="L18" i="21"/>
  <c r="N18" i="21" s="1"/>
  <c r="N17" i="21"/>
  <c r="M17" i="21"/>
  <c r="L17" i="21"/>
  <c r="N16" i="21"/>
  <c r="M16" i="21"/>
  <c r="L16" i="21"/>
  <c r="M15" i="21"/>
  <c r="L15" i="21"/>
  <c r="N15" i="21" s="1"/>
  <c r="M14" i="21"/>
  <c r="L14" i="21"/>
  <c r="N14" i="21" s="1"/>
  <c r="N13" i="21"/>
  <c r="M13" i="21"/>
  <c r="L13" i="21"/>
  <c r="N12" i="21"/>
  <c r="M12" i="21"/>
  <c r="L12" i="21"/>
  <c r="M11" i="21"/>
  <c r="L11" i="21"/>
  <c r="N11" i="21" s="1"/>
  <c r="M10" i="21"/>
  <c r="L10" i="21"/>
  <c r="N10" i="21" s="1"/>
  <c r="N9" i="21"/>
  <c r="M9" i="21"/>
  <c r="L9" i="21"/>
  <c r="N8" i="21"/>
  <c r="M8" i="21"/>
  <c r="L8" i="21"/>
  <c r="M7" i="21"/>
  <c r="L7" i="21"/>
  <c r="N7" i="21" s="1"/>
  <c r="M6" i="21"/>
  <c r="L6" i="21"/>
  <c r="N6" i="21" s="1"/>
  <c r="M5" i="21"/>
  <c r="L5" i="21"/>
  <c r="N5" i="21" s="1"/>
  <c r="M4" i="21"/>
  <c r="M101" i="21" s="1"/>
  <c r="F19" i="10" s="1"/>
  <c r="L4" i="21"/>
  <c r="N14" i="17"/>
  <c r="N15" i="17"/>
  <c r="N16" i="17"/>
  <c r="N26" i="17"/>
  <c r="N27" i="17"/>
  <c r="N28" i="17"/>
  <c r="N38" i="17"/>
  <c r="N39" i="17"/>
  <c r="N40" i="17"/>
  <c r="N50" i="17"/>
  <c r="N51" i="17"/>
  <c r="N52" i="17"/>
  <c r="N62" i="17"/>
  <c r="N63" i="17"/>
  <c r="N64" i="17"/>
  <c r="N74" i="17"/>
  <c r="N75" i="17"/>
  <c r="N76" i="17"/>
  <c r="N86" i="17"/>
  <c r="N87" i="17"/>
  <c r="N88" i="17"/>
  <c r="L5" i="17"/>
  <c r="N5" i="17" s="1"/>
  <c r="L6" i="17"/>
  <c r="N6" i="17" s="1"/>
  <c r="L7" i="17"/>
  <c r="N7" i="17" s="1"/>
  <c r="L8" i="17"/>
  <c r="N8" i="17" s="1"/>
  <c r="L9" i="17"/>
  <c r="N9" i="17" s="1"/>
  <c r="L10" i="17"/>
  <c r="N10" i="17" s="1"/>
  <c r="L11" i="17"/>
  <c r="N11" i="17" s="1"/>
  <c r="L12" i="17"/>
  <c r="N12" i="17" s="1"/>
  <c r="L13" i="17"/>
  <c r="N13" i="17" s="1"/>
  <c r="L14" i="17"/>
  <c r="L15" i="17"/>
  <c r="L16" i="17"/>
  <c r="L17" i="17"/>
  <c r="N17" i="17" s="1"/>
  <c r="L18" i="17"/>
  <c r="N18" i="17" s="1"/>
  <c r="L19" i="17"/>
  <c r="N19" i="17" s="1"/>
  <c r="L20" i="17"/>
  <c r="N20" i="17" s="1"/>
  <c r="L21" i="17"/>
  <c r="N21" i="17" s="1"/>
  <c r="L22" i="17"/>
  <c r="N22" i="17" s="1"/>
  <c r="L23" i="17"/>
  <c r="N23" i="17" s="1"/>
  <c r="L24" i="17"/>
  <c r="N24" i="17" s="1"/>
  <c r="L25" i="17"/>
  <c r="N25" i="17" s="1"/>
  <c r="L26" i="17"/>
  <c r="L27" i="17"/>
  <c r="L28" i="17"/>
  <c r="L29" i="17"/>
  <c r="N29" i="17" s="1"/>
  <c r="L30" i="17"/>
  <c r="N30" i="17" s="1"/>
  <c r="L31" i="17"/>
  <c r="N31" i="17" s="1"/>
  <c r="L32" i="17"/>
  <c r="N32" i="17" s="1"/>
  <c r="L33" i="17"/>
  <c r="N33" i="17" s="1"/>
  <c r="L34" i="17"/>
  <c r="N34" i="17" s="1"/>
  <c r="L35" i="17"/>
  <c r="N35" i="17" s="1"/>
  <c r="L36" i="17"/>
  <c r="N36" i="17" s="1"/>
  <c r="L37" i="17"/>
  <c r="N37" i="17" s="1"/>
  <c r="L38" i="17"/>
  <c r="L39" i="17"/>
  <c r="L40" i="17"/>
  <c r="L41" i="17"/>
  <c r="N41" i="17" s="1"/>
  <c r="L42" i="17"/>
  <c r="N42" i="17" s="1"/>
  <c r="L43" i="17"/>
  <c r="N43" i="17" s="1"/>
  <c r="L44" i="17"/>
  <c r="N44" i="17" s="1"/>
  <c r="L45" i="17"/>
  <c r="N45" i="17" s="1"/>
  <c r="L46" i="17"/>
  <c r="N46" i="17" s="1"/>
  <c r="L47" i="17"/>
  <c r="N47" i="17" s="1"/>
  <c r="L48" i="17"/>
  <c r="N48" i="17" s="1"/>
  <c r="L49" i="17"/>
  <c r="N49" i="17" s="1"/>
  <c r="L50" i="17"/>
  <c r="L51" i="17"/>
  <c r="L52" i="17"/>
  <c r="L53" i="17"/>
  <c r="N53" i="17" s="1"/>
  <c r="L54" i="17"/>
  <c r="N54" i="17" s="1"/>
  <c r="L55" i="17"/>
  <c r="N55" i="17" s="1"/>
  <c r="L56" i="17"/>
  <c r="N56" i="17" s="1"/>
  <c r="L57" i="17"/>
  <c r="N57" i="17" s="1"/>
  <c r="L58" i="17"/>
  <c r="N58" i="17" s="1"/>
  <c r="L59" i="17"/>
  <c r="N59" i="17" s="1"/>
  <c r="L60" i="17"/>
  <c r="N60" i="17" s="1"/>
  <c r="L61" i="17"/>
  <c r="N61" i="17" s="1"/>
  <c r="L62" i="17"/>
  <c r="L63" i="17"/>
  <c r="L64" i="17"/>
  <c r="L65" i="17"/>
  <c r="N65" i="17" s="1"/>
  <c r="L66" i="17"/>
  <c r="N66" i="17" s="1"/>
  <c r="L67" i="17"/>
  <c r="N67" i="17" s="1"/>
  <c r="L68" i="17"/>
  <c r="N68" i="17" s="1"/>
  <c r="L69" i="17"/>
  <c r="N69" i="17" s="1"/>
  <c r="L70" i="17"/>
  <c r="N70" i="17" s="1"/>
  <c r="L71" i="17"/>
  <c r="N71" i="17" s="1"/>
  <c r="L72" i="17"/>
  <c r="N72" i="17" s="1"/>
  <c r="L73" i="17"/>
  <c r="N73" i="17" s="1"/>
  <c r="L74" i="17"/>
  <c r="L75" i="17"/>
  <c r="L76" i="17"/>
  <c r="L77" i="17"/>
  <c r="N77" i="17" s="1"/>
  <c r="L78" i="17"/>
  <c r="N78" i="17" s="1"/>
  <c r="L79" i="17"/>
  <c r="N79" i="17" s="1"/>
  <c r="L80" i="17"/>
  <c r="N80" i="17" s="1"/>
  <c r="L81" i="17"/>
  <c r="N81" i="17" s="1"/>
  <c r="L82" i="17"/>
  <c r="N82" i="17" s="1"/>
  <c r="L83" i="17"/>
  <c r="N83" i="17" s="1"/>
  <c r="L84" i="17"/>
  <c r="N84" i="17" s="1"/>
  <c r="L85" i="17"/>
  <c r="N85" i="17" s="1"/>
  <c r="L86" i="17"/>
  <c r="L87" i="17"/>
  <c r="L88" i="17"/>
  <c r="L89" i="17"/>
  <c r="N89" i="17" s="1"/>
  <c r="L90" i="17"/>
  <c r="N90" i="17" s="1"/>
  <c r="L91" i="17"/>
  <c r="N91" i="17" s="1"/>
  <c r="L92" i="17"/>
  <c r="N92" i="17" s="1"/>
  <c r="L93" i="17"/>
  <c r="N93" i="17" s="1"/>
  <c r="L4" i="17"/>
  <c r="F24" i="10" l="1"/>
  <c r="F23" i="10"/>
  <c r="N4" i="22"/>
  <c r="M99" i="22"/>
  <c r="F27" i="10" s="1"/>
  <c r="F12" i="10"/>
  <c r="M100" i="21"/>
  <c r="M99" i="21"/>
  <c r="F17" i="10" s="1"/>
  <c r="N4" i="21"/>
  <c r="M100" i="17"/>
  <c r="N100" i="17" s="1"/>
  <c r="L6" i="10"/>
  <c r="K6" i="10"/>
  <c r="N4" i="17"/>
  <c r="M99" i="17"/>
  <c r="F7" i="10" s="1"/>
  <c r="M100" i="22"/>
  <c r="N100" i="22" l="1"/>
  <c r="G28" i="10" s="1"/>
  <c r="F28" i="10"/>
  <c r="N100" i="21"/>
  <c r="G18" i="10" s="1"/>
  <c r="F18" i="10"/>
  <c r="N96" i="21"/>
  <c r="G14" i="10" s="1"/>
  <c r="F14" i="10"/>
  <c r="M94" i="17"/>
  <c r="N94" i="17" s="1"/>
  <c r="G2" i="10" s="1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4" i="17"/>
  <c r="M98" i="17"/>
  <c r="F6" i="10" s="1"/>
  <c r="F36" i="10" s="1"/>
  <c r="M97" i="17"/>
  <c r="F5" i="10" s="1"/>
  <c r="F35" i="10" s="1"/>
  <c r="M95" i="17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C44" i="7"/>
  <c r="D44" i="7"/>
  <c r="E44" i="7"/>
  <c r="F44" i="7"/>
  <c r="G44" i="7"/>
  <c r="H44" i="7"/>
  <c r="I44" i="7"/>
  <c r="J44" i="7"/>
  <c r="K44" i="7"/>
  <c r="L44" i="7"/>
  <c r="M44" i="7"/>
  <c r="N44" i="7"/>
  <c r="O44" i="7"/>
  <c r="P44" i="7"/>
  <c r="C45" i="7"/>
  <c r="D45" i="7"/>
  <c r="E45" i="7"/>
  <c r="F45" i="7"/>
  <c r="G45" i="7"/>
  <c r="H45" i="7"/>
  <c r="I45" i="7"/>
  <c r="J45" i="7"/>
  <c r="K45" i="7"/>
  <c r="L45" i="7"/>
  <c r="M45" i="7"/>
  <c r="N45" i="7"/>
  <c r="O45" i="7"/>
  <c r="P45" i="7"/>
  <c r="C46" i="7"/>
  <c r="D46" i="7"/>
  <c r="E46" i="7"/>
  <c r="F46" i="7"/>
  <c r="G46" i="7"/>
  <c r="H46" i="7"/>
  <c r="I46" i="7"/>
  <c r="J46" i="7"/>
  <c r="K46" i="7"/>
  <c r="L46" i="7"/>
  <c r="M46" i="7"/>
  <c r="N46" i="7"/>
  <c r="O46" i="7"/>
  <c r="P46" i="7"/>
  <c r="C47" i="7"/>
  <c r="D47" i="7"/>
  <c r="E47" i="7"/>
  <c r="F47" i="7"/>
  <c r="G47" i="7"/>
  <c r="H47" i="7"/>
  <c r="I47" i="7"/>
  <c r="J47" i="7"/>
  <c r="K47" i="7"/>
  <c r="L47" i="7"/>
  <c r="M47" i="7"/>
  <c r="N47" i="7"/>
  <c r="O47" i="7"/>
  <c r="P47" i="7"/>
  <c r="C48" i="7"/>
  <c r="D48" i="7"/>
  <c r="E48" i="7"/>
  <c r="F48" i="7"/>
  <c r="G48" i="7"/>
  <c r="H48" i="7"/>
  <c r="I48" i="7"/>
  <c r="J48" i="7"/>
  <c r="K48" i="7"/>
  <c r="L48" i="7"/>
  <c r="M48" i="7"/>
  <c r="N48" i="7"/>
  <c r="O48" i="7"/>
  <c r="P48" i="7"/>
  <c r="C49" i="7"/>
  <c r="D49" i="7"/>
  <c r="E49" i="7"/>
  <c r="F49" i="7"/>
  <c r="G49" i="7"/>
  <c r="H49" i="7"/>
  <c r="I49" i="7"/>
  <c r="J49" i="7"/>
  <c r="K49" i="7"/>
  <c r="L49" i="7"/>
  <c r="M49" i="7"/>
  <c r="N49" i="7"/>
  <c r="O49" i="7"/>
  <c r="P49" i="7"/>
  <c r="C50" i="7"/>
  <c r="D50" i="7"/>
  <c r="E50" i="7"/>
  <c r="F50" i="7"/>
  <c r="G50" i="7"/>
  <c r="H50" i="7"/>
  <c r="I50" i="7"/>
  <c r="J50" i="7"/>
  <c r="K50" i="7"/>
  <c r="L50" i="7"/>
  <c r="M50" i="7"/>
  <c r="N50" i="7"/>
  <c r="O50" i="7"/>
  <c r="P50" i="7"/>
  <c r="C51" i="7"/>
  <c r="D51" i="7"/>
  <c r="E51" i="7"/>
  <c r="F51" i="7"/>
  <c r="G51" i="7"/>
  <c r="H51" i="7"/>
  <c r="I51" i="7"/>
  <c r="J51" i="7"/>
  <c r="K51" i="7"/>
  <c r="L51" i="7"/>
  <c r="M51" i="7"/>
  <c r="N51" i="7"/>
  <c r="O51" i="7"/>
  <c r="P51" i="7"/>
  <c r="C52" i="7"/>
  <c r="D52" i="7"/>
  <c r="E52" i="7"/>
  <c r="F52" i="7"/>
  <c r="G52" i="7"/>
  <c r="H52" i="7"/>
  <c r="I52" i="7"/>
  <c r="J52" i="7"/>
  <c r="K52" i="7"/>
  <c r="L52" i="7"/>
  <c r="M52" i="7"/>
  <c r="N52" i="7"/>
  <c r="O52" i="7"/>
  <c r="P52" i="7"/>
  <c r="C53" i="7"/>
  <c r="D53" i="7"/>
  <c r="E53" i="7"/>
  <c r="F53" i="7"/>
  <c r="G53" i="7"/>
  <c r="H53" i="7"/>
  <c r="I53" i="7"/>
  <c r="J53" i="7"/>
  <c r="K53" i="7"/>
  <c r="L53" i="7"/>
  <c r="M53" i="7"/>
  <c r="N53" i="7"/>
  <c r="O53" i="7"/>
  <c r="P53" i="7"/>
  <c r="C54" i="7"/>
  <c r="D54" i="7"/>
  <c r="E54" i="7"/>
  <c r="F54" i="7"/>
  <c r="G54" i="7"/>
  <c r="H54" i="7"/>
  <c r="I54" i="7"/>
  <c r="J54" i="7"/>
  <c r="K54" i="7"/>
  <c r="L54" i="7"/>
  <c r="M54" i="7"/>
  <c r="N54" i="7"/>
  <c r="O54" i="7"/>
  <c r="P54" i="7"/>
  <c r="C55" i="7"/>
  <c r="D55" i="7"/>
  <c r="E55" i="7"/>
  <c r="F55" i="7"/>
  <c r="G55" i="7"/>
  <c r="H55" i="7"/>
  <c r="I55" i="7"/>
  <c r="J55" i="7"/>
  <c r="K55" i="7"/>
  <c r="L55" i="7"/>
  <c r="M55" i="7"/>
  <c r="N55" i="7"/>
  <c r="O55" i="7"/>
  <c r="P55" i="7"/>
  <c r="C56" i="7"/>
  <c r="D56" i="7"/>
  <c r="E56" i="7"/>
  <c r="F56" i="7"/>
  <c r="G56" i="7"/>
  <c r="H56" i="7"/>
  <c r="I56" i="7"/>
  <c r="J56" i="7"/>
  <c r="K56" i="7"/>
  <c r="L56" i="7"/>
  <c r="M56" i="7"/>
  <c r="N56" i="7"/>
  <c r="O56" i="7"/>
  <c r="P56" i="7"/>
  <c r="N96" i="17" l="1"/>
  <c r="G4" i="10" s="1"/>
  <c r="F4" i="10"/>
  <c r="F3" i="10"/>
  <c r="F33" i="10" s="1"/>
  <c r="F2" i="10"/>
  <c r="F32" i="10" s="1"/>
  <c r="G32" i="10" s="1"/>
  <c r="F8" i="10" l="1"/>
  <c r="G8" i="10"/>
  <c r="F34" i="10"/>
  <c r="G34" i="10" s="1"/>
  <c r="M101" i="17"/>
  <c r="F9" i="10" s="1"/>
  <c r="F39" i="10" s="1"/>
  <c r="F38" i="10" l="1"/>
  <c r="G38" i="10" s="1"/>
  <c r="F37" i="10"/>
</calcChain>
</file>

<file path=xl/sharedStrings.xml><?xml version="1.0" encoding="utf-8"?>
<sst xmlns="http://schemas.openxmlformats.org/spreadsheetml/2006/main" count="700" uniqueCount="116">
  <si>
    <t>AAFTA Grand Prix Match</t>
  </si>
  <si>
    <t>Lane#</t>
  </si>
  <si>
    <t>Loc</t>
  </si>
  <si>
    <t>Target Description</t>
  </si>
  <si>
    <t>KZ, in</t>
  </si>
  <si>
    <t>Notes</t>
  </si>
  <si>
    <t>Dist, yds</t>
  </si>
  <si>
    <t>Standing</t>
  </si>
  <si>
    <t>Kneeling</t>
  </si>
  <si>
    <t>Ext Up/Down</t>
  </si>
  <si>
    <t>Ext Dark/Light</t>
  </si>
  <si>
    <t>Windy</t>
  </si>
  <si>
    <t>Near</t>
  </si>
  <si>
    <t>Med</t>
  </si>
  <si>
    <t>Far</t>
  </si>
  <si>
    <t xml:space="preserve"> </t>
  </si>
  <si>
    <t>Easy</t>
  </si>
  <si>
    <t>Moderate</t>
  </si>
  <si>
    <t>Hard</t>
  </si>
  <si>
    <t>Expert</t>
  </si>
  <si>
    <t>Course Std Dev</t>
  </si>
  <si>
    <t>Target Difficulty Rating</t>
  </si>
  <si>
    <t xml:space="preserve">Difficulty Factors </t>
  </si>
  <si>
    <t>Course Difficulty Rating</t>
  </si>
  <si>
    <t>Difficulty Factors</t>
  </si>
  <si>
    <t>0 to &lt;20</t>
  </si>
  <si>
    <t>20 to &lt;30</t>
  </si>
  <si>
    <t>30 to &lt;40</t>
  </si>
  <si>
    <t>Extreme Light or Dark</t>
  </si>
  <si>
    <t>0 to &lt;25</t>
  </si>
  <si>
    <t>25 to &lt;30</t>
  </si>
  <si>
    <t>30 to &lt;34</t>
  </si>
  <si>
    <t>Extreme Up or Down</t>
  </si>
  <si>
    <t xml:space="preserve">Windy                      </t>
  </si>
  <si>
    <t xml:space="preserve">Course Difficulty Rating =  </t>
  </si>
  <si>
    <t>factor is applied on this sheet.</t>
  </si>
  <si>
    <t xml:space="preserve">Kneeling                     </t>
  </si>
  <si>
    <t>Average of target difficulty ratings</t>
  </si>
  <si>
    <t>is applied on this sheet.</t>
  </si>
  <si>
    <t xml:space="preserve">                                             </t>
  </si>
  <si>
    <t xml:space="preserve">Standing                  </t>
  </si>
  <si>
    <t xml:space="preserve">Standing               </t>
  </si>
  <si>
    <t>Target Difficulty Rating = (Target Distance / Kill Zone Size) * (1 + Difficulty Factors)</t>
  </si>
  <si>
    <t>Target Difficulty Rating = PFT Conversion * (Target Distance / Kill Zone Size) * (1 + Difficulty Factors)</t>
  </si>
  <si>
    <t>Yards</t>
  </si>
  <si>
    <r>
      <t>PFT Conversion</t>
    </r>
    <r>
      <rPr>
        <b/>
        <vertAlign val="superscript"/>
        <sz val="9"/>
        <color indexed="10"/>
        <rFont val="Arial"/>
        <family val="2"/>
      </rPr>
      <t>Note</t>
    </r>
  </si>
  <si>
    <t>Pistol Troyer Chart  - v2.00 (2018 Season)</t>
  </si>
  <si>
    <r>
      <t xml:space="preserve">Note: </t>
    </r>
    <r>
      <rPr>
        <sz val="10"/>
        <color indexed="8"/>
        <rFont val="Arial"/>
        <family val="2"/>
      </rPr>
      <t>The PFT Conversion factor</t>
    </r>
  </si>
  <si>
    <t>40 &amp; up</t>
  </si>
  <si>
    <t>34 &amp; up</t>
  </si>
  <si>
    <r>
      <t>Shots past 45 yards</t>
    </r>
    <r>
      <rPr>
        <b/>
        <vertAlign val="superscript"/>
        <sz val="9"/>
        <color indexed="10"/>
        <rFont val="Arial"/>
        <family val="2"/>
      </rPr>
      <t>Note</t>
    </r>
  </si>
  <si>
    <r>
      <t>Note</t>
    </r>
    <r>
      <rPr>
        <sz val="10"/>
        <color indexed="8"/>
        <rFont val="Arial"/>
        <family val="2"/>
      </rPr>
      <t>:The Shots past 45 yards</t>
    </r>
  </si>
  <si>
    <t>Course 1</t>
  </si>
  <si>
    <t>Final Troyer</t>
  </si>
  <si>
    <t>Kill Zone Sizes</t>
  </si>
  <si>
    <t>Fraction</t>
  </si>
  <si>
    <t>Decimal</t>
  </si>
  <si>
    <t>Troyer Modifier</t>
  </si>
  <si>
    <t>X</t>
  </si>
  <si>
    <t>Match Name</t>
  </si>
  <si>
    <t>Host Club</t>
  </si>
  <si>
    <t>Location City</t>
  </si>
  <si>
    <t>Location State</t>
  </si>
  <si>
    <t>Start Date</t>
  </si>
  <si>
    <t>End Date</t>
  </si>
  <si>
    <t>Contact Name</t>
  </si>
  <si>
    <t>Contact Email</t>
  </si>
  <si>
    <t>Pistol Match</t>
  </si>
  <si>
    <t>Number of Targets</t>
  </si>
  <si>
    <t>Total Shots</t>
  </si>
  <si>
    <t>Rifle Match</t>
  </si>
  <si>
    <t>Course 2</t>
  </si>
  <si>
    <t>Rifle Troyer Chart</t>
  </si>
  <si>
    <t>Mid</t>
  </si>
  <si>
    <t>Total Targets</t>
  </si>
  <si>
    <t>Avg KZ</t>
  </si>
  <si>
    <t>Avg Distance</t>
  </si>
  <si>
    <t>Avg Troyer</t>
  </si>
  <si>
    <t>Targets &gt; 40 yards</t>
  </si>
  <si>
    <t>Rifle Course 1</t>
  </si>
  <si>
    <t>Rifle Course 2</t>
  </si>
  <si>
    <t>Meet Info</t>
  </si>
  <si>
    <t>Course 3</t>
  </si>
  <si>
    <t>Pistol Course</t>
  </si>
  <si>
    <t>Rifle Course 3</t>
  </si>
  <si>
    <t>Alerts</t>
  </si>
  <si>
    <t>Rifle Alert!</t>
  </si>
  <si>
    <t>Alert Description</t>
  </si>
  <si>
    <t>◄Illegal</t>
  </si>
  <si>
    <t>Illegal Target: Diffculty (NoEnv) &gt; 50T, 3/8 &gt; KZ(in) &gt; 2, or 10 &gt; Dist(yds) &gt; 55</t>
  </si>
  <si>
    <t>◄KZ@GP</t>
  </si>
  <si>
    <t>Illegal Target at Grand Prix: KZ(in) &lt; 1 1/2 past 45 yds</t>
  </si>
  <si>
    <t>◄FP@GP</t>
  </si>
  <si>
    <t>Illegal Forced Position at Grand Prix: KZ(in) &lt; 3/4 or target past 45 yds</t>
  </si>
  <si>
    <t>◄Max 36T</t>
  </si>
  <si>
    <t>Illegal Course: Average Course Difficulty ( NoEnv) &gt; 36T</t>
  </si>
  <si>
    <t>◄Min 28T</t>
  </si>
  <si>
    <t>Illegal Grand Prix Course: Average Course Difficulty (NoEnv) &lt; 28T</t>
  </si>
  <si>
    <t>◄40Yd</t>
  </si>
  <si>
    <t>Illegal Grand Prix Course: 1/3 of the targets must be past 40 yards</t>
  </si>
  <si>
    <t>Troyer w/o Env Eff</t>
  </si>
  <si>
    <t>Avg Troyer w/o Env Eff</t>
  </si>
  <si>
    <t>Percentage Targets &gt; 40 yards</t>
  </si>
  <si>
    <t>Pistol Alert!</t>
  </si>
  <si>
    <t>Illegal Target: Diffculty (NoEnv) &gt; 50T, 1/2 &gt; KZ(in) &gt; 2, or 10 &gt; Dist(yds) &gt; 35</t>
  </si>
  <si>
    <t>Illegal Target at Grand Prix: KZ(in) &lt; 1 1/2 past 30 yds</t>
  </si>
  <si>
    <t>Illegal Forced Position at Grand Prix: KZ(in) &lt; 1 or target past 30 yds</t>
  </si>
  <si>
    <t>◄Min 30T</t>
  </si>
  <si>
    <t>Illegal Grand Prix Course: Average Course Difficulty (NoEnv) &lt; 30T</t>
  </si>
  <si>
    <t>Course Troyer Std Dev</t>
  </si>
  <si>
    <t>Illegal Grand Prix Course: At least 40 shots required</t>
  </si>
  <si>
    <t>Illegal Grand Prix Course: Maximum of 60 shots allowed</t>
  </si>
  <si>
    <t>◄Min 40 Shots</t>
  </si>
  <si>
    <t>◄Max 60 Shots</t>
  </si>
  <si>
    <t>◄Min 100 Shots</t>
  </si>
  <si>
    <t>Illegal Grand Prix Match: Minimum of 100 shots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</si>
</sst>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"/>
    <numFmt numFmtId="165" formatCode="0.000"/>
    <numFmt numFmtId="166" formatCode="#\ ?/8"/>
  </numFmts>
  <fonts count="21" x14ac:knownFonts="1">
    <font>
      <sz val="10"/>
      <color indexed="8"/>
      <name val="Arial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vertAlign val="superscript"/>
      <sz val="9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8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Calibri"/>
      <family val="2"/>
      <scheme val="minor"/>
    </font>
    <font>
      <sz val="9"/>
      <color theme="0"/>
      <name val="Arial"/>
      <family val="2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1"/>
      </patternFill>
    </fill>
    <fill>
      <patternFill patternType="solid">
        <fgColor indexed="26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43"/>
        <bgColor indexed="26"/>
      </patternFill>
    </fill>
    <fill>
      <patternFill patternType="solid">
        <fgColor indexed="57"/>
        <bgColor indexed="21"/>
      </patternFill>
    </fill>
    <fill>
      <patternFill patternType="solid">
        <fgColor indexed="22"/>
        <bgColor indexed="47"/>
      </patternFill>
    </fill>
    <fill>
      <patternFill patternType="solid">
        <fgColor indexed="23"/>
        <bgColor indexed="5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45"/>
      </patternFill>
    </fill>
    <fill>
      <patternFill patternType="solid">
        <fgColor rgb="FF0070C0"/>
        <bgColor theme="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C0504D"/>
        <bgColor rgb="FFC0504D"/>
      </patternFill>
    </fill>
    <fill>
      <patternFill patternType="solid">
        <fgColor rgb="FFF2DCDB"/>
        <bgColor rgb="FFF2DCDB"/>
      </patternFill>
    </fill>
  </fills>
  <borders count="67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</borders>
  <cellStyleXfs count="32">
    <xf numFmtId="0" fontId="0" fillId="0" borderId="0"/>
    <xf numFmtId="0" fontId="1" fillId="2" borderId="0" applyBorder="0" applyProtection="0"/>
    <xf numFmtId="0" fontId="1" fillId="0" borderId="0" applyBorder="0" applyProtection="0"/>
    <xf numFmtId="0" fontId="2" fillId="3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 applyBorder="0" applyProtection="0"/>
    <xf numFmtId="0" fontId="1" fillId="0" borderId="0"/>
    <xf numFmtId="9" fontId="17" fillId="0" borderId="0" applyFont="0" applyFill="0" applyBorder="0" applyAlignment="0" applyProtection="0"/>
  </cellStyleXfs>
  <cellXfs count="206">
    <xf numFmtId="0" fontId="0" fillId="0" borderId="0" xfId="0"/>
    <xf numFmtId="0" fontId="6" fillId="0" borderId="2" xfId="0" applyFont="1" applyBorder="1" applyAlignment="1">
      <alignment horizontal="center"/>
    </xf>
    <xf numFmtId="0" fontId="6" fillId="0" borderId="2" xfId="26" applyFont="1" applyBorder="1" applyAlignment="1" applyProtection="1">
      <alignment horizontal="left"/>
    </xf>
    <xf numFmtId="0" fontId="6" fillId="10" borderId="2" xfId="0" applyFont="1" applyFill="1" applyBorder="1" applyAlignment="1">
      <alignment horizontal="center"/>
    </xf>
    <xf numFmtId="12" fontId="6" fillId="10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164" fontId="1" fillId="0" borderId="2" xfId="30" applyNumberFormat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1" fillId="7" borderId="2" xfId="26" applyFont="1" applyFill="1" applyBorder="1" applyAlignment="1" applyProtection="1">
      <alignment horizontal="center"/>
    </xf>
    <xf numFmtId="0" fontId="11" fillId="5" borderId="2" xfId="26" applyFont="1" applyFill="1" applyBorder="1" applyAlignment="1" applyProtection="1">
      <alignment horizontal="center"/>
    </xf>
    <xf numFmtId="0" fontId="11" fillId="0" borderId="2" xfId="26" applyFont="1" applyBorder="1" applyAlignment="1" applyProtection="1">
      <alignment horizontal="center"/>
    </xf>
    <xf numFmtId="0" fontId="11" fillId="6" borderId="5" xfId="26" applyFont="1" applyFill="1" applyBorder="1" applyAlignment="1" applyProtection="1">
      <alignment horizontal="center"/>
    </xf>
    <xf numFmtId="0" fontId="11" fillId="0" borderId="5" xfId="26" applyFont="1" applyBorder="1" applyAlignment="1" applyProtection="1">
      <alignment horizontal="center"/>
    </xf>
    <xf numFmtId="0" fontId="6" fillId="0" borderId="6" xfId="26" applyFont="1" applyBorder="1" applyAlignment="1" applyProtection="1">
      <alignment horizontal="left"/>
    </xf>
    <xf numFmtId="0" fontId="6" fillId="0" borderId="6" xfId="0" applyFont="1" applyBorder="1" applyAlignment="1">
      <alignment horizontal="left"/>
    </xf>
    <xf numFmtId="0" fontId="6" fillId="0" borderId="11" xfId="0" applyFont="1" applyBorder="1"/>
    <xf numFmtId="0" fontId="6" fillId="0" borderId="12" xfId="0" applyFont="1" applyBorder="1"/>
    <xf numFmtId="0" fontId="1" fillId="0" borderId="0" xfId="0" applyFont="1"/>
    <xf numFmtId="12" fontId="0" fillId="0" borderId="0" xfId="0" applyNumberFormat="1"/>
    <xf numFmtId="2" fontId="0" fillId="0" borderId="0" xfId="0" applyNumberFormat="1"/>
    <xf numFmtId="0" fontId="3" fillId="0" borderId="24" xfId="0" applyFont="1" applyBorder="1" applyAlignment="1" applyProtection="1">
      <alignment horizontal="center"/>
      <protection locked="0"/>
    </xf>
    <xf numFmtId="13" fontId="3" fillId="0" borderId="24" xfId="0" applyNumberFormat="1" applyFont="1" applyBorder="1" applyAlignment="1" applyProtection="1">
      <alignment horizontal="center"/>
      <protection locked="0"/>
    </xf>
    <xf numFmtId="164" fontId="7" fillId="0" borderId="24" xfId="16" applyNumberFormat="1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13" fontId="3" fillId="0" borderId="27" xfId="0" applyNumberFormat="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164" fontId="7" fillId="0" borderId="27" xfId="16" applyNumberFormat="1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3" fontId="3" fillId="0" borderId="32" xfId="0" applyNumberFormat="1" applyFont="1" applyBorder="1" applyAlignment="1" applyProtection="1">
      <alignment horizontal="center"/>
      <protection locked="0"/>
    </xf>
    <xf numFmtId="164" fontId="7" fillId="0" borderId="32" xfId="16" applyNumberFormat="1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horizontal="center"/>
      <protection locked="0"/>
    </xf>
    <xf numFmtId="165" fontId="0" fillId="0" borderId="0" xfId="0" applyNumberFormat="1"/>
    <xf numFmtId="0" fontId="6" fillId="0" borderId="7" xfId="26" applyFont="1" applyBorder="1" applyAlignment="1" applyProtection="1">
      <alignment horizontal="left"/>
    </xf>
    <xf numFmtId="0" fontId="3" fillId="0" borderId="25" xfId="0" applyFont="1" applyBorder="1" applyAlignment="1" applyProtection="1">
      <alignment horizontal="center"/>
      <protection locked="0"/>
    </xf>
    <xf numFmtId="13" fontId="3" fillId="0" borderId="25" xfId="0" applyNumberFormat="1" applyFont="1" applyBorder="1" applyAlignment="1" applyProtection="1">
      <alignment horizontal="center"/>
      <protection locked="0"/>
    </xf>
    <xf numFmtId="164" fontId="7" fillId="0" borderId="25" xfId="16" applyNumberFormat="1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0" fillId="0" borderId="13" xfId="0" applyBorder="1"/>
    <xf numFmtId="0" fontId="0" fillId="0" borderId="15" xfId="0" applyBorder="1"/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0" xfId="0" applyBorder="1"/>
    <xf numFmtId="0" fontId="0" fillId="0" borderId="1" xfId="0" applyBorder="1"/>
    <xf numFmtId="0" fontId="0" fillId="0" borderId="0" xfId="0" applyAlignment="1">
      <alignment horizontal="center"/>
    </xf>
    <xf numFmtId="0" fontId="1" fillId="0" borderId="58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12" fontId="3" fillId="0" borderId="27" xfId="0" applyNumberFormat="1" applyFont="1" applyBorder="1" applyAlignment="1" applyProtection="1">
      <alignment horizontal="center"/>
      <protection locked="0"/>
    </xf>
    <xf numFmtId="9" fontId="1" fillId="0" borderId="30" xfId="31" applyFont="1" applyBorder="1" applyAlignment="1" applyProtection="1">
      <alignment horizontal="center"/>
    </xf>
    <xf numFmtId="9" fontId="1" fillId="0" borderId="52" xfId="31" applyFont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8" fillId="10" borderId="18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4" xfId="15" applyFont="1" applyBorder="1" applyAlignment="1" applyProtection="1">
      <alignment horizontal="center"/>
    </xf>
    <xf numFmtId="0" fontId="6" fillId="0" borderId="21" xfId="15" applyFont="1" applyBorder="1" applyAlignment="1" applyProtection="1">
      <alignment horizontal="center"/>
    </xf>
    <xf numFmtId="0" fontId="6" fillId="0" borderId="5" xfId="15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6" fillId="0" borderId="4" xfId="26" applyFont="1" applyBorder="1" applyAlignment="1" applyProtection="1">
      <alignment horizontal="center"/>
    </xf>
    <xf numFmtId="0" fontId="6" fillId="0" borderId="21" xfId="26" applyFont="1" applyBorder="1" applyAlignment="1" applyProtection="1">
      <alignment horizontal="center"/>
    </xf>
    <xf numFmtId="0" fontId="6" fillId="0" borderId="5" xfId="26" applyFont="1" applyBorder="1" applyAlignment="1" applyProtection="1">
      <alignment horizontal="center"/>
    </xf>
    <xf numFmtId="0" fontId="0" fillId="0" borderId="14" xfId="0" applyBorder="1" applyAlignment="1">
      <alignment horizontal="center"/>
    </xf>
    <xf numFmtId="0" fontId="1" fillId="0" borderId="10" xfId="26" applyBorder="1" applyAlignment="1" applyProtection="1">
      <alignment horizontal="center"/>
    </xf>
    <xf numFmtId="0" fontId="1" fillId="0" borderId="0" xfId="26" applyBorder="1" applyAlignment="1" applyProtection="1">
      <alignment horizontal="center"/>
    </xf>
    <xf numFmtId="0" fontId="1" fillId="0" borderId="16" xfId="26" applyBorder="1" applyAlignment="1" applyProtection="1">
      <alignment horizontal="center"/>
    </xf>
    <xf numFmtId="0" fontId="0" fillId="0" borderId="10" xfId="26" applyFont="1" applyBorder="1" applyAlignment="1" applyProtection="1">
      <alignment horizontal="left"/>
    </xf>
    <xf numFmtId="0" fontId="0" fillId="0" borderId="0" xfId="26" applyFont="1" applyBorder="1" applyAlignment="1" applyProtection="1">
      <alignment horizontal="left"/>
    </xf>
    <xf numFmtId="0" fontId="0" fillId="0" borderId="16" xfId="26" applyFont="1" applyBorder="1" applyAlignment="1" applyProtection="1">
      <alignment horizontal="left"/>
    </xf>
    <xf numFmtId="0" fontId="0" fillId="0" borderId="7" xfId="26" applyFont="1" applyBorder="1" applyAlignment="1" applyProtection="1">
      <alignment horizontal="left"/>
    </xf>
    <xf numFmtId="0" fontId="0" fillId="0" borderId="8" xfId="26" applyFont="1" applyBorder="1" applyAlignment="1" applyProtection="1">
      <alignment horizontal="left"/>
    </xf>
    <xf numFmtId="0" fontId="0" fillId="0" borderId="9" xfId="26" applyFont="1" applyBorder="1" applyAlignment="1" applyProtection="1">
      <alignment horizontal="left"/>
    </xf>
    <xf numFmtId="0" fontId="3" fillId="0" borderId="2" xfId="26" applyFont="1" applyBorder="1" applyProtection="1"/>
    <xf numFmtId="0" fontId="3" fillId="0" borderId="2" xfId="26" applyFont="1" applyBorder="1" applyAlignment="1" applyProtection="1">
      <alignment horizontal="left"/>
    </xf>
    <xf numFmtId="0" fontId="3" fillId="0" borderId="6" xfId="26" applyFont="1" applyBorder="1" applyAlignment="1" applyProtection="1">
      <alignment horizontal="left"/>
    </xf>
    <xf numFmtId="0" fontId="10" fillId="0" borderId="14" xfId="26" applyFont="1" applyBorder="1" applyAlignment="1" applyProtection="1">
      <alignment horizontal="left"/>
    </xf>
    <xf numFmtId="0" fontId="10" fillId="0" borderId="0" xfId="26" applyFont="1" applyBorder="1" applyAlignment="1" applyProtection="1">
      <alignment horizontal="left"/>
    </xf>
    <xf numFmtId="0" fontId="10" fillId="0" borderId="16" xfId="26" applyFont="1" applyBorder="1" applyAlignment="1" applyProtection="1">
      <alignment horizontal="left"/>
    </xf>
    <xf numFmtId="0" fontId="0" fillId="0" borderId="22" xfId="26" applyFont="1" applyBorder="1" applyAlignment="1" applyProtection="1">
      <alignment horizontal="left"/>
    </xf>
    <xf numFmtId="0" fontId="6" fillId="0" borderId="23" xfId="26" applyFont="1" applyBorder="1" applyAlignment="1" applyProtection="1">
      <alignment horizontal="center"/>
    </xf>
    <xf numFmtId="0" fontId="6" fillId="0" borderId="17" xfId="26" applyFont="1" applyBorder="1" applyAlignment="1" applyProtection="1">
      <alignment horizontal="center"/>
    </xf>
    <xf numFmtId="0" fontId="6" fillId="0" borderId="7" xfId="26" applyFont="1" applyBorder="1" applyAlignment="1" applyProtection="1">
      <alignment horizontal="left"/>
    </xf>
    <xf numFmtId="0" fontId="6" fillId="0" borderId="8" xfId="26" applyFont="1" applyBorder="1" applyAlignment="1" applyProtection="1">
      <alignment horizontal="left"/>
    </xf>
    <xf numFmtId="0" fontId="6" fillId="0" borderId="9" xfId="26" applyFont="1" applyBorder="1" applyAlignment="1" applyProtection="1">
      <alignment horizontal="left"/>
    </xf>
    <xf numFmtId="0" fontId="6" fillId="0" borderId="2" xfId="26" applyFont="1" applyBorder="1" applyAlignment="1" applyProtection="1">
      <alignment horizontal="center"/>
    </xf>
    <xf numFmtId="0" fontId="15" fillId="12" borderId="53" xfId="0" applyFont="1" applyFill="1" applyBorder="1" applyAlignment="1" applyProtection="1">
      <alignment horizontal="center"/>
    </xf>
    <xf numFmtId="0" fontId="15" fillId="12" borderId="54" xfId="0" applyFont="1" applyFill="1" applyBorder="1" applyAlignment="1" applyProtection="1">
      <alignment horizontal="center"/>
    </xf>
    <xf numFmtId="0" fontId="0" fillId="0" borderId="0" xfId="0" applyProtection="1"/>
    <xf numFmtId="0" fontId="15" fillId="12" borderId="66" xfId="0" applyFont="1" applyFill="1" applyBorder="1" applyProtection="1"/>
    <xf numFmtId="0" fontId="15" fillId="0" borderId="0" xfId="0" applyFont="1" applyProtection="1"/>
    <xf numFmtId="0" fontId="18" fillId="15" borderId="62" xfId="0" applyFont="1" applyFill="1" applyBorder="1" applyAlignment="1" applyProtection="1">
      <alignment horizontal="center"/>
    </xf>
    <xf numFmtId="0" fontId="18" fillId="15" borderId="63" xfId="0" applyFont="1" applyFill="1" applyBorder="1" applyAlignment="1" applyProtection="1">
      <alignment horizontal="center"/>
    </xf>
    <xf numFmtId="0" fontId="18" fillId="15" borderId="62" xfId="0" applyFont="1" applyFill="1" applyBorder="1" applyProtection="1"/>
    <xf numFmtId="0" fontId="18" fillId="15" borderId="64" xfId="0" applyFont="1" applyFill="1" applyBorder="1" applyProtection="1"/>
    <xf numFmtId="0" fontId="16" fillId="13" borderId="41" xfId="0" applyFont="1" applyFill="1" applyBorder="1" applyAlignment="1" applyProtection="1">
      <alignment wrapText="1"/>
    </xf>
    <xf numFmtId="0" fontId="1" fillId="0" borderId="28" xfId="0" applyFont="1" applyBorder="1" applyAlignment="1" applyProtection="1">
      <alignment horizontal="center"/>
    </xf>
    <xf numFmtId="0" fontId="16" fillId="13" borderId="51" xfId="0" applyFont="1" applyFill="1" applyBorder="1" applyAlignment="1" applyProtection="1">
      <alignment wrapText="1"/>
    </xf>
    <xf numFmtId="1" fontId="1" fillId="0" borderId="52" xfId="0" applyNumberFormat="1" applyFont="1" applyBorder="1" applyAlignment="1" applyProtection="1">
      <alignment horizontal="center"/>
    </xf>
    <xf numFmtId="0" fontId="0" fillId="0" borderId="65" xfId="0" applyBorder="1" applyProtection="1"/>
    <xf numFmtId="0" fontId="20" fillId="16" borderId="62" xfId="0" applyFont="1" applyFill="1" applyBorder="1" applyProtection="1"/>
    <xf numFmtId="0" fontId="20" fillId="16" borderId="63" xfId="0" applyFont="1" applyFill="1" applyBorder="1" applyProtection="1"/>
    <xf numFmtId="0" fontId="18" fillId="17" borderId="62" xfId="0" applyFont="1" applyFill="1" applyBorder="1" applyAlignment="1" applyProtection="1">
      <alignment vertical="top"/>
    </xf>
    <xf numFmtId="0" fontId="18" fillId="17" borderId="64" xfId="0" applyFont="1" applyFill="1" applyBorder="1" applyAlignment="1" applyProtection="1">
      <alignment vertical="top"/>
    </xf>
    <xf numFmtId="0" fontId="16" fillId="13" borderId="42" xfId="0" applyFont="1" applyFill="1" applyBorder="1" applyAlignment="1" applyProtection="1">
      <alignment wrapText="1"/>
    </xf>
    <xf numFmtId="1" fontId="1" fillId="0" borderId="30" xfId="0" applyNumberFormat="1" applyFont="1" applyBorder="1" applyAlignment="1" applyProtection="1">
      <alignment horizontal="center"/>
    </xf>
    <xf numFmtId="0" fontId="0" fillId="1" borderId="0" xfId="0" applyFill="1" applyProtection="1"/>
    <xf numFmtId="12" fontId="1" fillId="0" borderId="52" xfId="0" applyNumberFormat="1" applyFont="1" applyBorder="1" applyAlignment="1" applyProtection="1">
      <alignment horizontal="center"/>
    </xf>
    <xf numFmtId="164" fontId="1" fillId="0" borderId="52" xfId="0" applyNumberFormat="1" applyFont="1" applyBorder="1" applyAlignment="1" applyProtection="1">
      <alignment horizontal="center"/>
    </xf>
    <xf numFmtId="12" fontId="1" fillId="0" borderId="30" xfId="0" applyNumberFormat="1" applyFont="1" applyBorder="1" applyAlignment="1" applyProtection="1">
      <alignment horizontal="center"/>
    </xf>
    <xf numFmtId="2" fontId="1" fillId="0" borderId="52" xfId="0" applyNumberFormat="1" applyFont="1" applyBorder="1" applyAlignment="1" applyProtection="1">
      <alignment horizontal="center"/>
    </xf>
    <xf numFmtId="164" fontId="1" fillId="0" borderId="30" xfId="0" applyNumberFormat="1" applyFont="1" applyBorder="1" applyAlignment="1" applyProtection="1">
      <alignment horizontal="center"/>
    </xf>
    <xf numFmtId="2" fontId="1" fillId="0" borderId="30" xfId="0" applyNumberFormat="1" applyFont="1" applyBorder="1" applyAlignment="1" applyProtection="1">
      <alignment horizontal="center"/>
    </xf>
    <xf numFmtId="0" fontId="16" fillId="13" borderId="43" xfId="0" applyFont="1" applyFill="1" applyBorder="1" applyAlignment="1" applyProtection="1">
      <alignment wrapText="1"/>
    </xf>
    <xf numFmtId="2" fontId="1" fillId="0" borderId="33" xfId="0" applyNumberFormat="1" applyFont="1" applyBorder="1" applyAlignment="1" applyProtection="1">
      <alignment horizontal="center"/>
    </xf>
    <xf numFmtId="0" fontId="16" fillId="13" borderId="55" xfId="0" applyFont="1" applyFill="1" applyBorder="1" applyAlignment="1" applyProtection="1">
      <alignment wrapText="1"/>
    </xf>
    <xf numFmtId="0" fontId="0" fillId="0" borderId="0" xfId="0" applyAlignment="1" applyProtection="1">
      <alignment horizontal="right"/>
    </xf>
    <xf numFmtId="0" fontId="19" fillId="0" borderId="63" xfId="0" applyFont="1" applyBorder="1" applyProtection="1"/>
    <xf numFmtId="0" fontId="19" fillId="0" borderId="64" xfId="0" applyFont="1" applyBorder="1" applyProtection="1"/>
    <xf numFmtId="0" fontId="16" fillId="13" borderId="57" xfId="0" applyFont="1" applyFill="1" applyBorder="1" applyAlignment="1" applyProtection="1">
      <alignment wrapText="1"/>
    </xf>
    <xf numFmtId="0" fontId="16" fillId="13" borderId="59" xfId="0" applyFont="1" applyFill="1" applyBorder="1" applyAlignment="1" applyProtection="1">
      <alignment wrapText="1"/>
    </xf>
    <xf numFmtId="9" fontId="1" fillId="0" borderId="52" xfId="0" applyNumberFormat="1" applyFont="1" applyBorder="1" applyAlignment="1" applyProtection="1">
      <alignment horizontal="center"/>
    </xf>
    <xf numFmtId="0" fontId="12" fillId="13" borderId="26" xfId="0" applyFont="1" applyFill="1" applyBorder="1" applyAlignment="1" applyProtection="1">
      <alignment horizontal="center" vertical="center" wrapText="1"/>
    </xf>
    <xf numFmtId="0" fontId="12" fillId="13" borderId="27" xfId="0" applyFont="1" applyFill="1" applyBorder="1" applyAlignment="1" applyProtection="1">
      <alignment wrapText="1"/>
    </xf>
    <xf numFmtId="0" fontId="12" fillId="13" borderId="29" xfId="0" applyFont="1" applyFill="1" applyBorder="1" applyAlignment="1" applyProtection="1">
      <alignment horizontal="center" vertical="center" wrapText="1"/>
    </xf>
    <xf numFmtId="0" fontId="12" fillId="13" borderId="24" xfId="0" applyFont="1" applyFill="1" applyBorder="1" applyAlignment="1" applyProtection="1">
      <alignment wrapText="1"/>
    </xf>
    <xf numFmtId="0" fontId="12" fillId="13" borderId="31" xfId="0" applyFont="1" applyFill="1" applyBorder="1" applyAlignment="1" applyProtection="1">
      <alignment horizontal="center" vertical="center" wrapText="1"/>
    </xf>
    <xf numFmtId="0" fontId="12" fillId="13" borderId="32" xfId="0" applyFont="1" applyFill="1" applyBorder="1" applyAlignment="1" applyProtection="1">
      <alignment wrapText="1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2" fillId="13" borderId="48" xfId="0" applyFont="1" applyFill="1" applyBorder="1" applyProtection="1"/>
    <xf numFmtId="0" fontId="12" fillId="13" borderId="48" xfId="0" applyFont="1" applyFill="1" applyBorder="1" applyAlignment="1" applyProtection="1">
      <alignment wrapText="1"/>
    </xf>
    <xf numFmtId="0" fontId="13" fillId="13" borderId="48" xfId="0" applyFont="1" applyFill="1" applyBorder="1" applyProtection="1"/>
    <xf numFmtId="164" fontId="12" fillId="13" borderId="48" xfId="0" applyNumberFormat="1" applyFont="1" applyFill="1" applyBorder="1" applyAlignment="1" applyProtection="1">
      <alignment horizontal="center" wrapText="1"/>
    </xf>
    <xf numFmtId="0" fontId="12" fillId="13" borderId="48" xfId="0" applyFont="1" applyFill="1" applyBorder="1" applyAlignment="1" applyProtection="1">
      <alignment textRotation="90"/>
    </xf>
    <xf numFmtId="0" fontId="14" fillId="13" borderId="48" xfId="0" applyFont="1" applyFill="1" applyBorder="1" applyAlignment="1" applyProtection="1">
      <alignment textRotation="90"/>
    </xf>
    <xf numFmtId="165" fontId="12" fillId="13" borderId="48" xfId="0" applyNumberFormat="1" applyFont="1" applyFill="1" applyBorder="1" applyAlignment="1" applyProtection="1">
      <alignment textRotation="90" wrapText="1"/>
    </xf>
    <xf numFmtId="0" fontId="12" fillId="13" borderId="48" xfId="0" applyFont="1" applyFill="1" applyBorder="1" applyAlignment="1" applyProtection="1">
      <alignment horizontal="center" textRotation="90"/>
    </xf>
    <xf numFmtId="165" fontId="6" fillId="14" borderId="27" xfId="0" applyNumberFormat="1" applyFont="1" applyFill="1" applyBorder="1" applyProtection="1"/>
    <xf numFmtId="165" fontId="6" fillId="14" borderId="28" xfId="0" applyNumberFormat="1" applyFont="1" applyFill="1" applyBorder="1" applyProtection="1"/>
    <xf numFmtId="0" fontId="6" fillId="0" borderId="61" xfId="0" applyFont="1" applyBorder="1" applyAlignment="1" applyProtection="1">
      <alignment horizontal="left"/>
    </xf>
    <xf numFmtId="165" fontId="6" fillId="14" borderId="24" xfId="0" applyNumberFormat="1" applyFont="1" applyFill="1" applyBorder="1" applyProtection="1"/>
    <xf numFmtId="165" fontId="6" fillId="14" borderId="30" xfId="0" applyNumberFormat="1" applyFont="1" applyFill="1" applyBorder="1" applyProtection="1"/>
    <xf numFmtId="165" fontId="6" fillId="14" borderId="32" xfId="0" applyNumberFormat="1" applyFont="1" applyFill="1" applyBorder="1" applyProtection="1"/>
    <xf numFmtId="165" fontId="6" fillId="14" borderId="33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12" fillId="13" borderId="34" xfId="0" applyFont="1" applyFill="1" applyBorder="1" applyAlignment="1" applyProtection="1">
      <alignment horizontal="center" vertical="center" wrapText="1"/>
    </xf>
    <xf numFmtId="0" fontId="12" fillId="13" borderId="35" xfId="0" applyFont="1" applyFill="1" applyBorder="1" applyAlignment="1" applyProtection="1">
      <alignment horizontal="center" vertical="center" wrapText="1"/>
    </xf>
    <xf numFmtId="0" fontId="12" fillId="13" borderId="36" xfId="0" applyFont="1" applyFill="1" applyBorder="1" applyAlignment="1" applyProtection="1">
      <alignment horizontal="center" vertical="center" wrapText="1"/>
    </xf>
    <xf numFmtId="0" fontId="12" fillId="13" borderId="25" xfId="0" applyFont="1" applyFill="1" applyBorder="1" applyAlignment="1" applyProtection="1">
      <alignment wrapText="1"/>
    </xf>
    <xf numFmtId="165" fontId="6" fillId="14" borderId="49" xfId="0" applyNumberFormat="1" applyFont="1" applyFill="1" applyBorder="1" applyProtection="1"/>
    <xf numFmtId="0" fontId="3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12" fillId="13" borderId="41" xfId="0" applyFont="1" applyFill="1" applyBorder="1" applyAlignment="1" applyProtection="1">
      <alignment horizontal="right" wrapText="1"/>
    </xf>
    <xf numFmtId="0" fontId="12" fillId="13" borderId="39" xfId="0" applyFont="1" applyFill="1" applyBorder="1" applyAlignment="1" applyProtection="1">
      <alignment horizontal="right" wrapText="1"/>
    </xf>
    <xf numFmtId="0" fontId="12" fillId="13" borderId="40" xfId="0" applyFont="1" applyFill="1" applyBorder="1" applyAlignment="1" applyProtection="1">
      <alignment horizontal="right" wrapText="1"/>
    </xf>
    <xf numFmtId="0" fontId="12" fillId="13" borderId="42" xfId="0" applyFont="1" applyFill="1" applyBorder="1" applyAlignment="1" applyProtection="1">
      <alignment horizontal="right" wrapText="1"/>
    </xf>
    <xf numFmtId="0" fontId="12" fillId="13" borderId="37" xfId="0" applyFont="1" applyFill="1" applyBorder="1" applyAlignment="1" applyProtection="1">
      <alignment horizontal="right" wrapText="1"/>
    </xf>
    <xf numFmtId="0" fontId="12" fillId="13" borderId="38" xfId="0" applyFont="1" applyFill="1" applyBorder="1" applyAlignment="1" applyProtection="1">
      <alignment horizontal="right" wrapText="1"/>
    </xf>
    <xf numFmtId="166" fontId="1" fillId="0" borderId="30" xfId="0" applyNumberFormat="1" applyFont="1" applyBorder="1" applyAlignment="1" applyProtection="1">
      <alignment horizontal="center"/>
    </xf>
    <xf numFmtId="166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0" fontId="12" fillId="13" borderId="43" xfId="0" applyFont="1" applyFill="1" applyBorder="1" applyAlignment="1" applyProtection="1">
      <alignment horizontal="right" wrapText="1"/>
    </xf>
    <xf numFmtId="0" fontId="12" fillId="13" borderId="44" xfId="0" applyFont="1" applyFill="1" applyBorder="1" applyAlignment="1" applyProtection="1">
      <alignment horizontal="right" wrapText="1"/>
    </xf>
    <xf numFmtId="0" fontId="12" fillId="13" borderId="45" xfId="0" applyFont="1" applyFill="1" applyBorder="1" applyAlignment="1" applyProtection="1">
      <alignment horizontal="right" wrapText="1"/>
    </xf>
    <xf numFmtId="165" fontId="0" fillId="0" borderId="0" xfId="0" applyNumberForma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3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</cellXfs>
  <cellStyles count="32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2" xfId="4" xr:uid="{00000000-0005-0000-0000-000003000000}"/>
    <cellStyle name="cf3" xfId="5" xr:uid="{00000000-0005-0000-0000-000004000000}"/>
    <cellStyle name="cf4" xfId="6" xr:uid="{00000000-0005-0000-0000-000005000000}"/>
    <cellStyle name="cf5" xfId="7" xr:uid="{00000000-0005-0000-0000-000006000000}"/>
    <cellStyle name="cf6" xfId="8" xr:uid="{00000000-0005-0000-0000-000007000000}"/>
    <cellStyle name="cf7" xfId="9" xr:uid="{00000000-0005-0000-0000-000008000000}"/>
    <cellStyle name="cf8" xfId="10" xr:uid="{00000000-0005-0000-0000-000009000000}"/>
    <cellStyle name="cf9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2_Red" xfId="15" xr:uid="{00000000-0005-0000-0000-00000F000000}"/>
    <cellStyle name="Normal 2 3" xfId="16" xr:uid="{00000000-0005-0000-0000-000010000000}"/>
    <cellStyle name="Normal 2_Red" xfId="17" xr:uid="{00000000-0005-0000-0000-000011000000}"/>
    <cellStyle name="Normal 3" xfId="18" xr:uid="{00000000-0005-0000-0000-000012000000}"/>
    <cellStyle name="Normal 3 2" xfId="19" xr:uid="{00000000-0005-0000-0000-000013000000}"/>
    <cellStyle name="Normal 3 2 2" xfId="20" xr:uid="{00000000-0005-0000-0000-000014000000}"/>
    <cellStyle name="Normal 3 2_Red" xfId="21" xr:uid="{00000000-0005-0000-0000-000015000000}"/>
    <cellStyle name="Normal 3_Red" xfId="22" xr:uid="{00000000-0005-0000-0000-000016000000}"/>
    <cellStyle name="Normal 4" xfId="23" xr:uid="{00000000-0005-0000-0000-000017000000}"/>
    <cellStyle name="Normal 4 2" xfId="24" xr:uid="{00000000-0005-0000-0000-000018000000}"/>
    <cellStyle name="Normal 4_Red" xfId="25" xr:uid="{00000000-0005-0000-0000-000019000000}"/>
    <cellStyle name="Normal 5" xfId="26" xr:uid="{00000000-0005-0000-0000-00001A000000}"/>
    <cellStyle name="Normal 5 2" xfId="27" xr:uid="{00000000-0005-0000-0000-00001B000000}"/>
    <cellStyle name="Normal 5_Red" xfId="28" xr:uid="{00000000-0005-0000-0000-00001C000000}"/>
    <cellStyle name="Normal 6" xfId="29" xr:uid="{00000000-0005-0000-0000-00001D000000}"/>
    <cellStyle name="Normal_Red" xfId="30" xr:uid="{00000000-0005-0000-0000-00001E000000}"/>
    <cellStyle name="Percent" xfId="31" builtinId="5"/>
  </cellStyles>
  <dxfs count="141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8" formatCode="#\ ??/??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8" formatCode="#\ ??/??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8" formatCode="#\ ??/??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8" formatCode="#\ ??/??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fill>
        <patternFill patternType="none">
          <fgColor rgb="FF000000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Arial"/>
        <family val="2"/>
        <scheme val="none"/>
      </font>
      <numFmt numFmtId="165" formatCode="0.000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Arial"/>
        <family val="2"/>
        <scheme val="none"/>
      </font>
      <numFmt numFmtId="0" formatCode="General"/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font>
        <b val="0"/>
        <condense val="0"/>
        <extend val="0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ont>
        <b val="0"/>
        <condense val="0"/>
        <extend val="0"/>
        <color indexed="8"/>
      </font>
      <fill>
        <patternFill patternType="solid">
          <fgColor indexed="21"/>
          <bgColor indexed="57"/>
        </patternFill>
      </fill>
    </dxf>
    <dxf>
      <font>
        <b val="0"/>
        <condense val="0"/>
        <extend val="0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color indexed="8"/>
      </font>
      <fill>
        <patternFill patternType="solid">
          <fgColor indexed="46"/>
          <bgColor indexed="24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933FF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 outline="0">
        <top style="thin">
          <color rgb="FF000000"/>
        </top>
        <bottom style="medium">
          <color rgb="FF000000"/>
        </bottom>
      </border>
    </dxf>
    <dxf>
      <border outline="0">
        <top style="thin">
          <color rgb="FF000000"/>
        </top>
        <bottom style="medium">
          <color rgb="FF000000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border outline="0">
        <top style="thin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Invisible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8B7"/>
      <rgbColor rgb="00AF6F99"/>
      <rgbColor rgb="009999FF"/>
      <rgbColor rgb="00C0504D"/>
      <rgbColor rgb="00FDE9D9"/>
      <rgbColor rgb="00DCE6F1"/>
      <rgbColor rgb="00660066"/>
      <rgbColor rgb="00DA9694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DCDB"/>
      <rgbColor rgb="00DDD9C4"/>
      <rgbColor rgb="00FFFF99"/>
      <rgbColor rgb="0099CCFF"/>
      <rgbColor rgb="00EADA9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62DE7A0-D419-4A5C-9222-F82CDABC8474}" name="Course1Table8" displayName="Course1Table8" ref="A3:N93" totalsRowShown="0" headerRowDxfId="58" dataDxfId="57" tableBorderDxfId="140">
  <autoFilter ref="A3:N93" xr:uid="{C4B2C0CA-D5B9-426F-A251-031152656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3467FAC-418F-4FCA-A3DC-807BBEE0F4F8}" name="Lane#" dataDxfId="63"/>
    <tableColumn id="2" xr3:uid="{0EA2AD06-F170-4E7B-AEFC-D262AF781B35}" name="Loc" dataDxfId="62"/>
    <tableColumn id="3" xr3:uid="{88D26920-CF6C-4F22-B025-EEB4CE2DCA56}" name="Target Description" dataDxfId="56"/>
    <tableColumn id="4" xr3:uid="{D8E812FB-2A28-41AE-A1BB-FAF82432B130}" name="KZ, in" dataDxfId="55"/>
    <tableColumn id="5" xr3:uid="{81C0791C-FD3F-4669-9FAD-D5B0B6CF8C2F}" name="Notes" dataDxfId="54"/>
    <tableColumn id="6" xr3:uid="{6E5587F4-695C-42DE-AC6B-E5A614C9CCEB}" name="Dist, yds" dataDxfId="53" dataCellStyle="Normal 2 3"/>
    <tableColumn id="8" xr3:uid="{55C64BB4-9DF9-462F-9B3E-8EB26563A3A8}" name="Standing" dataDxfId="52"/>
    <tableColumn id="9" xr3:uid="{09091400-DDEA-4F0B-ABFD-43DF2A47EFF7}" name="Kneeling" dataDxfId="51"/>
    <tableColumn id="10" xr3:uid="{2E34EA7D-4EE4-4A3F-8922-93D7D55B078B}" name="Ext Up/Down" dataDxfId="50"/>
    <tableColumn id="11" xr3:uid="{BF8880DA-5FAC-47A8-8FC6-F11DB54FE3A5}" name="Ext Dark/Light" dataDxfId="49"/>
    <tableColumn id="12" xr3:uid="{B8315265-7D62-4319-8D5D-3D71DEF0FE69}" name="Windy" dataDxfId="48"/>
    <tableColumn id="16" xr3:uid="{557E31E0-86C7-4A52-9D49-665A889CD3AD}" name="Troyer w/o Env Eff" dataDxfId="61">
      <calculatedColumnFormula>IFERROR('Pistol Troyer'!$J$2*(F4/D4)*(1+IF(G4="X", 0.75, 0) +IF(H4="X", 0.5, 0) + IF(I4="X", 0.25, 0) ), "")</calculatedColumnFormula>
    </tableColumn>
    <tableColumn id="17" xr3:uid="{74CBCE4C-A6AF-4D44-B443-CA0A67BE4C37}" name="Final Troyer" dataDxfId="60">
      <calculatedColumnFormula>IFERROR('Pistol Troyer'!$J$2*(F4/D4)*(1+IF(G4="X", 0.75, 0) +IF(H4="X", 0.5, 0) + IF(I4="X", 0.25, 0) + IF(J4="X", 0.25, 0) + IF(K4="X", 0.25, 0)), "")</calculatedColumnFormula>
    </tableColumn>
    <tableColumn id="14" xr3:uid="{3C397D03-E527-4713-A7FF-3B74E3B192EA}" name="Alerts" dataDxfId="59">
      <calculatedColumnFormula>_xlfn.IFNA(IF(OR(L4&gt;50, OR(OR(VLOOKUP(D4,'Selection Lists'!$A$4:$B$17, 2, FALSE)&lt;1/2, VLOOKUP(D4, 'Selection Lists'!$A$4:$B$17, 2, FALSE)&gt;2)), OR(INT(F4)&lt;10, INT(F4)&gt;35)), $Q$5, ""), "") &amp; " " &amp; _xlfn.IFNA(IF(AND(VLOOKUP(D4, 'Selection Lists'!$A$4:$B$17, 2, FALSE)&lt;1.5, INT(F4)&gt;30), $Q$6, ""), "") &amp; " " &amp; _xlfn.IFNA(IF(AND(OR(G4="X",H4="X"), OR(VLOOKUP(D4, 'Selection Lists'!$A$4:$B$17, 2, FALSE)&lt;1, INT(F4)&gt;30)), $Q$7, ""), "")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B2C0CA-D5B9-426F-A251-031152656406}" name="Course1Table" displayName="Course1Table" ref="A3:N93" totalsRowShown="0" headerRowDxfId="42" dataDxfId="41" tableBorderDxfId="139">
  <autoFilter ref="A3:N93" xr:uid="{C4B2C0CA-D5B9-426F-A251-031152656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E82408A2-3BE6-458E-BCB3-992A071ECF9D}" name="Lane#" dataDxfId="47"/>
    <tableColumn id="2" xr3:uid="{BB90F5B5-85F7-4004-8517-9C4AFAB8F904}" name="Loc" dataDxfId="46"/>
    <tableColumn id="3" xr3:uid="{A7674ABF-26D7-4788-A73C-A52C6C1CD4FA}" name="Target Description" dataDxfId="40"/>
    <tableColumn id="4" xr3:uid="{DB60F8C0-272D-4A45-9399-4714D6CED2A4}" name="KZ, in" dataDxfId="39"/>
    <tableColumn id="5" xr3:uid="{6204AEF8-19E9-4FDB-AD95-683B8F162948}" name="Notes" dataDxfId="38"/>
    <tableColumn id="6" xr3:uid="{C5944CAD-2A12-4D02-9578-1B768ABB50D0}" name="Dist, yds" dataDxfId="37" dataCellStyle="Normal 2 3"/>
    <tableColumn id="8" xr3:uid="{632210CC-C988-4A83-B347-B0C8EF237D23}" name="Standing" dataDxfId="36"/>
    <tableColumn id="9" xr3:uid="{2243A7CC-5D2F-4731-B5F3-87CCAE9B5541}" name="Kneeling" dataDxfId="35"/>
    <tableColumn id="10" xr3:uid="{44A03DC1-1DB5-43C3-8107-C9040E6C950C}" name="Ext Up/Down" dataDxfId="34"/>
    <tableColumn id="11" xr3:uid="{4FC93035-D4F9-41E9-8A11-8465E320F726}" name="Ext Dark/Light" dataDxfId="33"/>
    <tableColumn id="12" xr3:uid="{8486AFA2-B087-40D8-A2E4-2C9553402DDA}" name="Windy" dataDxfId="32"/>
    <tableColumn id="16" xr3:uid="{75485EF3-6971-4A06-A78F-B9F029D44EE5}" name="Troyer w/o Env Eff" dataDxfId="45">
      <calculatedColumnFormula>IFERROR((F4/D4)*(1+IF(G4="X", 0.75, 0) +IF(H4="X", 0.5, 0) + IF(I4="X", 0.25, 0) +IF(F4&gt;45, 0.125, 0)), "")</calculatedColumnFormula>
    </tableColumn>
    <tableColumn id="17" xr3:uid="{2C76504D-B467-4596-B744-B29C42BD358A}" name="Final Troyer" dataDxfId="44">
      <calculatedColumnFormula>IFERROR((F4/D4)*(1+IF(G4="X", 0.75, 0) +IF(H4="X", 0.5, 0) + IF(I4="X", 0.25, 0) + IF(J4="X", 0.25, 0) + IF(K4="X", 0.25, 0)+IF(F4&gt;45, 0.125, 0)), "")</calculatedColumnFormula>
    </tableColumn>
    <tableColumn id="14" xr3:uid="{13443F69-07EF-46B1-9BE5-769BF4739527}" name="Alerts" dataDxfId="43">
      <calculatedColumnFormula>_xlfn.IFNA(IF(OR(L4&gt;50, OR(OR(VLOOKUP(D4,'Selection Lists'!$A$4:$B$17, 2, FALSE)&lt;3/8, VLOOKUP(D4, 'Selection Lists'!$A$4:$B$17, 2, FALSE)&gt;2)), OR(INT(F4)&lt;10, INT(F4)&gt;55)), $Q$5, ""), "") &amp; " " &amp; _xlfn.IFNA(IF(AND(VLOOKUP(D4, 'Selection Lists'!$A$4:$B$17, 2, FALSE)&lt;1.5, INT(F4)&gt;45), $Q$6, ""), "") &amp; " " &amp; _xlfn.IFNA(IF(AND(OR(G4="X",H4="X"), OR(VLOOKUP(D4, 'Selection Lists'!$A$4:$B$17, 2, FALSE)&lt;0.75, INT(F4)&gt;45)), $Q$7, ""), "")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87F36CE-9929-48E2-B4BC-81EDFD42153A}" name="Course1Table6" displayName="Course1Table6" ref="A3:N93" totalsRowShown="0" headerRowDxfId="26" dataDxfId="25" tableBorderDxfId="138">
  <autoFilter ref="A3:N93" xr:uid="{C4B2C0CA-D5B9-426F-A251-031152656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289A0D08-D5C6-44C2-BAF6-78FA930322D9}" name="Lane#" dataDxfId="31"/>
    <tableColumn id="2" xr3:uid="{A736D3F2-3253-4A12-94C5-D25B8A1A74EB}" name="Loc" dataDxfId="30"/>
    <tableColumn id="3" xr3:uid="{74522ED4-C9B8-4815-8119-37B455BAD5DC}" name="Target Description" dataDxfId="24"/>
    <tableColumn id="4" xr3:uid="{B1B9A265-384C-4C69-BC37-51B6EDBE856B}" name="KZ, in" dataDxfId="23"/>
    <tableColumn id="5" xr3:uid="{32770258-4422-4B28-B795-2DC876D4D6DF}" name="Notes" dataDxfId="22"/>
    <tableColumn id="6" xr3:uid="{AA831B21-3CC7-4047-9636-1B26C09FD759}" name="Dist, yds" dataDxfId="21" dataCellStyle="Normal 2 3"/>
    <tableColumn id="8" xr3:uid="{39D11650-4E0F-4674-8BFC-B879D524908B}" name="Standing" dataDxfId="20"/>
    <tableColumn id="9" xr3:uid="{898F9F2E-D725-4E92-8168-E8CB5C5BE759}" name="Kneeling" dataDxfId="19"/>
    <tableColumn id="10" xr3:uid="{3818AD90-8E4C-4D96-AF61-196EBB377E16}" name="Ext Up/Down" dataDxfId="18"/>
    <tableColumn id="11" xr3:uid="{3EBD4296-FC24-4306-87A9-150CFCB4889E}" name="Ext Dark/Light" dataDxfId="17"/>
    <tableColumn id="12" xr3:uid="{3C94FD25-DA87-40F2-B26A-58DAA99F01B4}" name="Windy" dataDxfId="16"/>
    <tableColumn id="16" xr3:uid="{3A64B6BE-2764-436F-9D0F-5E7E6F2FCDE7}" name="Troyer w/o Env Eff" dataDxfId="29">
      <calculatedColumnFormula>IFERROR((F4/D4)*(1+IF(G4="X", 0.75, 0) +IF(H4="X", 0.5, 0) + IF(I4="X", 0.25, 0) +IF(F4&gt;45, 0.125, 0)), "")</calculatedColumnFormula>
    </tableColumn>
    <tableColumn id="17" xr3:uid="{A6AD2D87-B3B1-4D01-98F3-81A0EA756E66}" name="Final Troyer" dataDxfId="28">
      <calculatedColumnFormula>IFERROR((F4/D4)*(1+IF(G4="X", 0.75, 0) +IF(H4="X", 0.5, 0) + IF(I4="X", 0.25, 0) + IF(J4="X", 0.25, 0) + IF(K4="X", 0.25, 0)+IF(F4&gt;45, 0.125, 0)), "")</calculatedColumnFormula>
    </tableColumn>
    <tableColumn id="14" xr3:uid="{7B0907A9-CAAC-4696-BDE2-9CB204D04112}" name="Alerts" dataDxfId="27">
      <calculatedColumnFormula>_xlfn.IFNA(IF(OR(L4&gt;50, OR(OR(VLOOKUP(D4,'Selection Lists'!$A$4:$B$17, 2, FALSE)&lt;3/8, VLOOKUP(D4, 'Selection Lists'!$A$4:$B$17, 2, FALSE)&gt;2)), OR(INT(F4)&lt;10, INT(F4)&gt;55)), $Q$5, ""), "") &amp; " " &amp; _xlfn.IFNA(IF(AND(VLOOKUP(D4, 'Selection Lists'!$A$4:$B$17, 2, FALSE)&lt;1.5, INT(F4)&gt;45), $Q$6, ""), "") &amp; " " &amp; _xlfn.IFNA(IF(AND(OR(G4="X",H4="X"), OR(VLOOKUP(D4, 'Selection Lists'!$A$4:$B$17, 2, FALSE)&lt;0.75, INT(F4)&gt;45)), $Q$7, ""), "")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2640ABB-5AA4-49FF-A2E9-2D980513E326}" name="Course1Table7" displayName="Course1Table7" ref="A3:N93" totalsRowShown="0" headerRowDxfId="10" dataDxfId="9" tableBorderDxfId="137">
  <autoFilter ref="A3:N93" xr:uid="{C4B2C0CA-D5B9-426F-A251-03115265640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D74C17C5-C706-4037-9358-430FBAAD2D27}" name="Lane#" dataDxfId="15"/>
    <tableColumn id="2" xr3:uid="{30A10B39-FA5B-46FD-B937-6040113B49C2}" name="Loc" dataDxfId="14"/>
    <tableColumn id="3" xr3:uid="{7E1BCDD4-3317-4DDF-989C-3CFD3305E63A}" name="Target Description" dataDxfId="8"/>
    <tableColumn id="4" xr3:uid="{581D5C94-B6A4-410C-8AA3-78C741AD49DE}" name="KZ, in" dataDxfId="7"/>
    <tableColumn id="5" xr3:uid="{19BA828D-D4A9-46C0-BCF0-C80D33AB2759}" name="Notes" dataDxfId="6"/>
    <tableColumn id="6" xr3:uid="{7FC761A2-7D6C-40BF-A338-86BA2D3E37B7}" name="Dist, yds" dataDxfId="5" dataCellStyle="Normal 2 3"/>
    <tableColumn id="8" xr3:uid="{149ED546-A383-4C65-9769-7BF804F10487}" name="Standing" dataDxfId="4"/>
    <tableColumn id="9" xr3:uid="{A27CC715-040B-42BF-B865-4394AF10DE0F}" name="Kneeling" dataDxfId="3"/>
    <tableColumn id="10" xr3:uid="{44C48CED-71C0-44A7-AD06-7B77BA70FC35}" name="Ext Up/Down" dataDxfId="2"/>
    <tableColumn id="11" xr3:uid="{21639FC8-674F-4159-9A97-A97FDB67F6BD}" name="Ext Dark/Light" dataDxfId="1"/>
    <tableColumn id="12" xr3:uid="{1935CF26-17F3-4285-A437-7B70E8C50316}" name="Windy" dataDxfId="0"/>
    <tableColumn id="16" xr3:uid="{2EB69139-A422-40BB-8069-751E0BBF838E}" name="Troyer w/o Env Eff" dataDxfId="13">
      <calculatedColumnFormula>IFERROR((F4/D4)*(1+IF(G4="X", 0.75, 0) +IF(H4="X", 0.5, 0) + IF(I4="X", 0.25, 0) +IF(F4&gt;45, 0.125, 0)), "")</calculatedColumnFormula>
    </tableColumn>
    <tableColumn id="17" xr3:uid="{09738996-AC20-40F9-AD07-8BE9124E44E0}" name="Final Troyer" dataDxfId="12">
      <calculatedColumnFormula>IFERROR((F4/D4)*(1+IF(G4="X", 0.75, 0) +IF(H4="X", 0.5, 0) + IF(I4="X", 0.25, 0) + IF(J4="X", 0.25, 0) + IF(K4="X", 0.25, 0)+IF(F4&gt;45, 0.125, 0)), "")</calculatedColumnFormula>
    </tableColumn>
    <tableColumn id="14" xr3:uid="{71A26A38-F545-4A7E-923D-6FC01E14F89F}" name="Alerts" dataDxfId="11">
      <calculatedColumnFormula>_xlfn.IFNA(IF(OR(L4&gt;50, OR(OR(VLOOKUP(D4,'Selection Lists'!$A$4:$B$17, 2, FALSE)&lt;3/8, VLOOKUP(D4, 'Selection Lists'!$A$4:$B$17, 2, FALSE)&gt;2)), OR(INT(F4)&lt;10, INT(F4)&gt;55)), $Q$5, ""), "") &amp; " " &amp; _xlfn.IFNA(IF(AND(VLOOKUP(D4, 'Selection Lists'!$A$4:$B$17, 2, FALSE)&lt;1.5, INT(F4)&gt;45), $Q$6, ""), "") &amp; " " &amp; _xlfn.IFNA(IF(AND(OR(G4="X",H4="X"), OR(VLOOKUP(D4, 'Selection Lists'!$A$4:$B$17, 2, FALSE)&lt;0.75, INT(F4)&gt;45)), $Q$7, ""), 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workbookViewId="0">
      <selection activeCell="D5" sqref="D5"/>
    </sheetView>
  </sheetViews>
  <sheetFormatPr defaultRowHeight="12.75" x14ac:dyDescent="0.2"/>
  <cols>
    <col min="4" max="4" width="3.42578125" customWidth="1"/>
  </cols>
  <sheetData>
    <row r="1" spans="1:4" x14ac:dyDescent="0.2">
      <c r="A1" s="64" t="s">
        <v>54</v>
      </c>
      <c r="B1" s="64"/>
      <c r="D1" s="23" t="s">
        <v>57</v>
      </c>
    </row>
    <row r="2" spans="1:4" x14ac:dyDescent="0.2">
      <c r="A2" s="23" t="s">
        <v>55</v>
      </c>
      <c r="B2" s="23" t="s">
        <v>56</v>
      </c>
    </row>
    <row r="3" spans="1:4" x14ac:dyDescent="0.2">
      <c r="A3" s="24"/>
      <c r="B3" s="25"/>
      <c r="D3" s="23" t="s">
        <v>58</v>
      </c>
    </row>
    <row r="4" spans="1:4" x14ac:dyDescent="0.2">
      <c r="A4" s="24">
        <v>0.375</v>
      </c>
      <c r="B4" s="39">
        <f t="shared" ref="B4:B17" si="0">A4</f>
        <v>0.375</v>
      </c>
    </row>
    <row r="5" spans="1:4" x14ac:dyDescent="0.2">
      <c r="A5" s="24">
        <v>0.5</v>
      </c>
      <c r="B5" s="39">
        <f t="shared" si="0"/>
        <v>0.5</v>
      </c>
    </row>
    <row r="6" spans="1:4" x14ac:dyDescent="0.2">
      <c r="A6" s="24">
        <v>0.625</v>
      </c>
      <c r="B6" s="39">
        <f t="shared" si="0"/>
        <v>0.625</v>
      </c>
    </row>
    <row r="7" spans="1:4" x14ac:dyDescent="0.2">
      <c r="A7" s="24">
        <v>0.75</v>
      </c>
      <c r="B7" s="39">
        <f t="shared" si="0"/>
        <v>0.75</v>
      </c>
    </row>
    <row r="8" spans="1:4" x14ac:dyDescent="0.2">
      <c r="A8" s="24">
        <v>0.875</v>
      </c>
      <c r="B8" s="39">
        <f t="shared" si="0"/>
        <v>0.875</v>
      </c>
    </row>
    <row r="9" spans="1:4" x14ac:dyDescent="0.2">
      <c r="A9" s="24">
        <v>1</v>
      </c>
      <c r="B9" s="39">
        <f t="shared" si="0"/>
        <v>1</v>
      </c>
    </row>
    <row r="10" spans="1:4" x14ac:dyDescent="0.2">
      <c r="A10" s="24">
        <v>1.125</v>
      </c>
      <c r="B10" s="39">
        <f t="shared" si="0"/>
        <v>1.125</v>
      </c>
    </row>
    <row r="11" spans="1:4" x14ac:dyDescent="0.2">
      <c r="A11" s="24">
        <v>1.25</v>
      </c>
      <c r="B11" s="39">
        <f t="shared" si="0"/>
        <v>1.25</v>
      </c>
    </row>
    <row r="12" spans="1:4" x14ac:dyDescent="0.2">
      <c r="A12" s="24">
        <v>1.375</v>
      </c>
      <c r="B12" s="39">
        <f t="shared" si="0"/>
        <v>1.375</v>
      </c>
    </row>
    <row r="13" spans="1:4" x14ac:dyDescent="0.2">
      <c r="A13" s="24">
        <v>1.5</v>
      </c>
      <c r="B13" s="39">
        <f t="shared" si="0"/>
        <v>1.5</v>
      </c>
    </row>
    <row r="14" spans="1:4" x14ac:dyDescent="0.2">
      <c r="A14" s="24">
        <v>1.625</v>
      </c>
      <c r="B14" s="39">
        <f t="shared" si="0"/>
        <v>1.625</v>
      </c>
    </row>
    <row r="15" spans="1:4" x14ac:dyDescent="0.2">
      <c r="A15" s="24">
        <v>1.75</v>
      </c>
      <c r="B15" s="39">
        <f t="shared" si="0"/>
        <v>1.75</v>
      </c>
    </row>
    <row r="16" spans="1:4" x14ac:dyDescent="0.2">
      <c r="A16" s="24">
        <v>1.875</v>
      </c>
      <c r="B16" s="39">
        <f t="shared" si="0"/>
        <v>1.875</v>
      </c>
    </row>
    <row r="17" spans="1:2" x14ac:dyDescent="0.2">
      <c r="A17" s="24">
        <v>2</v>
      </c>
      <c r="B17" s="39">
        <f t="shared" si="0"/>
        <v>2</v>
      </c>
    </row>
    <row r="18" spans="1:2" x14ac:dyDescent="0.2">
      <c r="A18" s="24"/>
    </row>
    <row r="19" spans="1:2" x14ac:dyDescent="0.2">
      <c r="A19" s="24"/>
    </row>
    <row r="20" spans="1:2" x14ac:dyDescent="0.2">
      <c r="A20" s="24"/>
    </row>
    <row r="21" spans="1:2" x14ac:dyDescent="0.2">
      <c r="A21" s="24"/>
    </row>
    <row r="22" spans="1:2" x14ac:dyDescent="0.2">
      <c r="A22" s="24"/>
    </row>
    <row r="23" spans="1:2" x14ac:dyDescent="0.2">
      <c r="A23" s="24"/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9"/>
  <sheetViews>
    <sheetView tabSelected="1" workbookViewId="0">
      <selection activeCell="B13" sqref="B13"/>
    </sheetView>
  </sheetViews>
  <sheetFormatPr defaultRowHeight="12.75" x14ac:dyDescent="0.2"/>
  <cols>
    <col min="1" max="1" width="15.85546875" style="119" bestFit="1" customWidth="1"/>
    <col min="2" max="2" width="33.7109375" style="119" customWidth="1"/>
    <col min="3" max="4" width="3.5703125" style="119" customWidth="1"/>
    <col min="5" max="5" width="15.85546875" style="119" customWidth="1"/>
    <col min="6" max="6" width="9.140625" style="119"/>
    <col min="7" max="7" width="18.140625" style="119" customWidth="1"/>
    <col min="8" max="9" width="9.140625" style="119"/>
    <col min="10" max="10" width="25.5703125" style="119" bestFit="1" customWidth="1"/>
    <col min="11" max="11" width="11.140625" style="119" customWidth="1"/>
    <col min="12" max="12" width="14.5703125" style="119" bestFit="1" customWidth="1"/>
    <col min="13" max="16384" width="9.140625" style="119"/>
  </cols>
  <sheetData>
    <row r="1" spans="1:26" ht="16.5" thickBot="1" x14ac:dyDescent="0.3">
      <c r="A1" s="117" t="s">
        <v>81</v>
      </c>
      <c r="B1" s="118"/>
      <c r="E1" s="117" t="s">
        <v>79</v>
      </c>
      <c r="F1" s="118"/>
      <c r="G1" s="120" t="s">
        <v>85</v>
      </c>
      <c r="H1" s="121"/>
      <c r="J1" s="117" t="s">
        <v>67</v>
      </c>
      <c r="K1" s="118"/>
      <c r="L1" s="120" t="s">
        <v>85</v>
      </c>
      <c r="O1" s="122" t="s">
        <v>86</v>
      </c>
      <c r="P1" s="123"/>
      <c r="Q1" s="124" t="s">
        <v>87</v>
      </c>
      <c r="R1" s="125"/>
      <c r="S1" s="125"/>
      <c r="T1" s="125"/>
      <c r="U1" s="125"/>
      <c r="V1" s="125"/>
      <c r="W1" s="125"/>
      <c r="X1" s="125"/>
      <c r="Y1" s="125"/>
      <c r="Z1" s="125"/>
    </row>
    <row r="2" spans="1:26" ht="15" customHeight="1" thickBot="1" x14ac:dyDescent="0.25">
      <c r="A2" s="126" t="s">
        <v>59</v>
      </c>
      <c r="B2" s="58"/>
      <c r="E2" s="128" t="s">
        <v>74</v>
      </c>
      <c r="F2" s="129">
        <f>'Rifle Course 1'!M94</f>
        <v>0</v>
      </c>
      <c r="G2" s="130" t="str">
        <f>'Rifle Course 1'!N94</f>
        <v/>
      </c>
      <c r="J2" s="128" t="s">
        <v>74</v>
      </c>
      <c r="K2" s="129">
        <f>'Pistol Course'!M94</f>
        <v>0</v>
      </c>
      <c r="L2" s="130" t="str">
        <f>'Pistol Course'!N94</f>
        <v xml:space="preserve"> </v>
      </c>
      <c r="O2" s="131" t="s">
        <v>88</v>
      </c>
      <c r="P2" s="132"/>
      <c r="Q2" s="133" t="s">
        <v>89</v>
      </c>
      <c r="R2" s="134"/>
      <c r="S2" s="134"/>
      <c r="T2" s="134"/>
      <c r="U2" s="134"/>
      <c r="V2" s="134"/>
      <c r="W2" s="134"/>
      <c r="X2" s="134"/>
      <c r="Y2" s="134"/>
      <c r="Z2" s="134"/>
    </row>
    <row r="3" spans="1:26" ht="15" customHeight="1" thickBot="1" x14ac:dyDescent="0.25">
      <c r="A3" s="128" t="s">
        <v>60</v>
      </c>
      <c r="B3" s="59"/>
      <c r="E3" s="135" t="s">
        <v>78</v>
      </c>
      <c r="F3" s="136">
        <f>'Rifle Course 1'!M95</f>
        <v>0</v>
      </c>
      <c r="G3" s="137"/>
      <c r="J3" s="135" t="s">
        <v>75</v>
      </c>
      <c r="K3" s="138" t="str">
        <f>'Pistol Course'!M95</f>
        <v/>
      </c>
      <c r="L3" s="137"/>
      <c r="O3" s="131" t="s">
        <v>90</v>
      </c>
      <c r="P3" s="132"/>
      <c r="Q3" s="133" t="s">
        <v>91</v>
      </c>
      <c r="R3" s="134"/>
      <c r="S3" s="134"/>
      <c r="T3" s="134"/>
      <c r="U3" s="134"/>
      <c r="V3" s="134"/>
      <c r="W3" s="134"/>
      <c r="X3" s="134"/>
      <c r="Y3" s="134"/>
      <c r="Z3" s="134"/>
    </row>
    <row r="4" spans="1:26" ht="15" customHeight="1" thickBot="1" x14ac:dyDescent="0.25">
      <c r="A4" s="128" t="s">
        <v>61</v>
      </c>
      <c r="B4" s="59"/>
      <c r="E4" s="135" t="s">
        <v>102</v>
      </c>
      <c r="F4" s="62" t="str">
        <f>'Rifle Course 1'!M96</f>
        <v/>
      </c>
      <c r="G4" s="130" t="str">
        <f>'Rifle Course 1'!N96</f>
        <v/>
      </c>
      <c r="J4" s="135" t="s">
        <v>76</v>
      </c>
      <c r="K4" s="139" t="str">
        <f>'Pistol Course'!M96</f>
        <v/>
      </c>
      <c r="L4" s="137"/>
      <c r="O4" s="131" t="s">
        <v>92</v>
      </c>
      <c r="P4" s="132"/>
      <c r="Q4" s="133" t="s">
        <v>93</v>
      </c>
      <c r="R4" s="134"/>
      <c r="S4" s="134"/>
      <c r="T4" s="134"/>
      <c r="U4" s="134"/>
      <c r="V4" s="134"/>
      <c r="W4" s="134"/>
      <c r="X4" s="134"/>
      <c r="Y4" s="134"/>
      <c r="Z4" s="134"/>
    </row>
    <row r="5" spans="1:26" ht="13.5" thickBot="1" x14ac:dyDescent="0.25">
      <c r="A5" s="128" t="s">
        <v>62</v>
      </c>
      <c r="B5" s="59"/>
      <c r="E5" s="135" t="s">
        <v>75</v>
      </c>
      <c r="F5" s="140" t="str">
        <f>'Rifle Course 1'!M97</f>
        <v/>
      </c>
      <c r="G5" s="137"/>
      <c r="J5" s="135" t="s">
        <v>20</v>
      </c>
      <c r="K5" s="141" t="str">
        <f>'Pistol Course'!M97</f>
        <v/>
      </c>
      <c r="L5" s="137"/>
      <c r="O5" s="131" t="s">
        <v>94</v>
      </c>
      <c r="P5" s="132"/>
      <c r="Q5" s="133" t="s">
        <v>95</v>
      </c>
      <c r="R5" s="134"/>
      <c r="S5" s="134"/>
      <c r="T5" s="134"/>
      <c r="U5" s="134"/>
      <c r="V5" s="134"/>
      <c r="W5" s="134"/>
      <c r="X5" s="134"/>
      <c r="Y5" s="134"/>
      <c r="Z5" s="134"/>
    </row>
    <row r="6" spans="1:26" ht="15" customHeight="1" thickBot="1" x14ac:dyDescent="0.25">
      <c r="A6" s="128" t="s">
        <v>63</v>
      </c>
      <c r="B6" s="59"/>
      <c r="E6" s="135" t="s">
        <v>76</v>
      </c>
      <c r="F6" s="142" t="str">
        <f>'Rifle Course 1'!M98</f>
        <v/>
      </c>
      <c r="G6" s="137"/>
      <c r="J6" s="135" t="s">
        <v>101</v>
      </c>
      <c r="K6" s="141" t="str">
        <f>'Pistol Course'!M98</f>
        <v/>
      </c>
      <c r="L6" s="130" t="str">
        <f>'Pistol Course'!N98</f>
        <v xml:space="preserve"> ◄Max 36T</v>
      </c>
      <c r="O6" s="131" t="s">
        <v>96</v>
      </c>
      <c r="P6" s="132"/>
      <c r="Q6" s="133" t="s">
        <v>97</v>
      </c>
      <c r="R6" s="134"/>
      <c r="S6" s="134"/>
      <c r="T6" s="134"/>
      <c r="U6" s="134"/>
      <c r="V6" s="134"/>
      <c r="W6" s="134"/>
      <c r="X6" s="134"/>
      <c r="Y6" s="134"/>
      <c r="Z6" s="134"/>
    </row>
    <row r="7" spans="1:26" ht="15" customHeight="1" thickBot="1" x14ac:dyDescent="0.25">
      <c r="A7" s="128" t="s">
        <v>64</v>
      </c>
      <c r="B7" s="59"/>
      <c r="E7" s="135" t="s">
        <v>109</v>
      </c>
      <c r="F7" s="143" t="str">
        <f>'Rifle Course 1'!M99</f>
        <v/>
      </c>
      <c r="G7" s="137"/>
      <c r="J7" s="144" t="s">
        <v>77</v>
      </c>
      <c r="K7" s="145" t="str">
        <f>'Pistol Course'!M99</f>
        <v/>
      </c>
      <c r="L7" s="137"/>
      <c r="O7" s="131" t="s">
        <v>98</v>
      </c>
      <c r="P7" s="132"/>
      <c r="Q7" s="133" t="s">
        <v>99</v>
      </c>
      <c r="R7" s="134"/>
      <c r="S7" s="134"/>
      <c r="T7" s="134"/>
      <c r="U7" s="134"/>
      <c r="V7" s="134"/>
      <c r="W7" s="134"/>
      <c r="X7" s="134"/>
      <c r="Y7" s="134"/>
      <c r="Z7" s="134"/>
    </row>
    <row r="8" spans="1:26" ht="15" customHeight="1" thickBot="1" x14ac:dyDescent="0.25">
      <c r="A8" s="128" t="s">
        <v>65</v>
      </c>
      <c r="B8" s="59"/>
      <c r="E8" s="135" t="s">
        <v>101</v>
      </c>
      <c r="F8" s="143" t="str">
        <f>'Rifle Course 1'!M100</f>
        <v/>
      </c>
      <c r="G8" s="130" t="str">
        <f>'Rifle Course 1'!N100</f>
        <v xml:space="preserve"> ◄Max 36T</v>
      </c>
      <c r="O8" s="131" t="s">
        <v>113</v>
      </c>
      <c r="P8" s="132"/>
      <c r="Q8" s="133" t="s">
        <v>111</v>
      </c>
      <c r="R8" s="134"/>
      <c r="S8" s="134"/>
      <c r="T8" s="134"/>
      <c r="U8" s="134"/>
      <c r="V8" s="134"/>
      <c r="W8" s="134"/>
      <c r="X8" s="134"/>
      <c r="Y8" s="134"/>
      <c r="Z8" s="134"/>
    </row>
    <row r="9" spans="1:26" ht="13.5" customHeight="1" thickBot="1" x14ac:dyDescent="0.25">
      <c r="A9" s="146" t="s">
        <v>66</v>
      </c>
      <c r="B9" s="60"/>
      <c r="E9" s="144" t="s">
        <v>77</v>
      </c>
      <c r="F9" s="145" t="str">
        <f>'Rifle Course 1'!M101</f>
        <v/>
      </c>
      <c r="G9" s="137"/>
      <c r="O9" s="131" t="s">
        <v>114</v>
      </c>
      <c r="P9" s="132"/>
      <c r="Q9" s="133" t="s">
        <v>115</v>
      </c>
      <c r="R9" s="134"/>
      <c r="S9" s="134"/>
      <c r="T9" s="134"/>
      <c r="U9" s="134"/>
      <c r="V9" s="134"/>
      <c r="W9" s="134"/>
      <c r="X9" s="134"/>
      <c r="Y9" s="134"/>
      <c r="Z9" s="134"/>
    </row>
    <row r="10" spans="1:26" ht="13.5" thickBot="1" x14ac:dyDescent="0.25">
      <c r="A10" s="147"/>
    </row>
    <row r="11" spans="1:26" ht="16.5" thickBot="1" x14ac:dyDescent="0.3">
      <c r="A11" s="117" t="s">
        <v>67</v>
      </c>
      <c r="B11" s="118"/>
      <c r="E11" s="117" t="s">
        <v>80</v>
      </c>
      <c r="F11" s="118"/>
      <c r="G11" s="120" t="s">
        <v>85</v>
      </c>
      <c r="O11" s="122" t="s">
        <v>103</v>
      </c>
      <c r="P11" s="148"/>
      <c r="Q11" s="124" t="s">
        <v>87</v>
      </c>
      <c r="R11" s="149"/>
      <c r="S11" s="149"/>
      <c r="T11" s="149"/>
      <c r="U11" s="149"/>
      <c r="V11" s="149"/>
      <c r="W11" s="149"/>
      <c r="X11" s="149"/>
      <c r="Y11" s="149"/>
      <c r="Z11" s="149"/>
    </row>
    <row r="12" spans="1:26" ht="13.5" thickBot="1" x14ac:dyDescent="0.25">
      <c r="A12" s="150" t="s">
        <v>68</v>
      </c>
      <c r="B12" s="56"/>
      <c r="E12" s="128" t="s">
        <v>74</v>
      </c>
      <c r="F12" s="129">
        <f>'Rifle Course 2'!M94</f>
        <v>0</v>
      </c>
      <c r="G12" s="130" t="str">
        <f>'Rifle Course 2'!N94</f>
        <v/>
      </c>
      <c r="O12" s="131" t="s">
        <v>88</v>
      </c>
      <c r="P12" s="148"/>
      <c r="Q12" s="133" t="s">
        <v>104</v>
      </c>
      <c r="R12" s="149"/>
      <c r="S12" s="149"/>
      <c r="T12" s="149"/>
      <c r="U12" s="149"/>
      <c r="V12" s="149"/>
      <c r="W12" s="149"/>
      <c r="X12" s="149"/>
      <c r="Y12" s="149"/>
      <c r="Z12" s="149"/>
    </row>
    <row r="13" spans="1:26" ht="13.5" thickBot="1" x14ac:dyDescent="0.25">
      <c r="A13" s="150" t="s">
        <v>69</v>
      </c>
      <c r="B13" s="56"/>
      <c r="E13" s="135" t="s">
        <v>78</v>
      </c>
      <c r="F13" s="129">
        <f>'Rifle Course 2'!M95</f>
        <v>0</v>
      </c>
      <c r="G13" s="137"/>
      <c r="O13" s="131" t="s">
        <v>90</v>
      </c>
      <c r="P13" s="148"/>
      <c r="Q13" s="133" t="s">
        <v>105</v>
      </c>
      <c r="R13" s="149"/>
      <c r="S13" s="149"/>
      <c r="T13" s="149"/>
      <c r="U13" s="149"/>
      <c r="V13" s="149"/>
      <c r="W13" s="149"/>
      <c r="X13" s="149"/>
      <c r="Y13" s="149"/>
      <c r="Z13" s="149"/>
    </row>
    <row r="14" spans="1:26" ht="13.5" thickBot="1" x14ac:dyDescent="0.25">
      <c r="A14" s="151" t="s">
        <v>53</v>
      </c>
      <c r="B14" s="57"/>
      <c r="E14" s="135" t="s">
        <v>102</v>
      </c>
      <c r="F14" s="152" t="str">
        <f>'Rifle Course 2'!M96</f>
        <v/>
      </c>
      <c r="G14" s="130" t="str">
        <f>'Rifle Course 2'!N96</f>
        <v/>
      </c>
      <c r="O14" s="131" t="s">
        <v>92</v>
      </c>
      <c r="P14" s="148"/>
      <c r="Q14" s="133" t="s">
        <v>106</v>
      </c>
      <c r="R14" s="149"/>
      <c r="S14" s="149"/>
      <c r="T14" s="149"/>
      <c r="U14" s="149"/>
      <c r="V14" s="149"/>
      <c r="W14" s="149"/>
      <c r="X14" s="149"/>
      <c r="Y14" s="149"/>
      <c r="Z14" s="149"/>
    </row>
    <row r="15" spans="1:26" ht="13.5" thickBot="1" x14ac:dyDescent="0.25">
      <c r="A15" s="147"/>
      <c r="E15" s="135" t="s">
        <v>75</v>
      </c>
      <c r="F15" s="138" t="str">
        <f>'Rifle Course 2'!M97</f>
        <v/>
      </c>
      <c r="G15" s="137"/>
      <c r="O15" s="131" t="s">
        <v>94</v>
      </c>
      <c r="P15" s="148"/>
      <c r="Q15" s="133" t="s">
        <v>95</v>
      </c>
      <c r="R15" s="149"/>
      <c r="S15" s="149"/>
      <c r="T15" s="149"/>
      <c r="U15" s="149"/>
      <c r="V15" s="149"/>
      <c r="W15" s="149"/>
      <c r="X15" s="149"/>
      <c r="Y15" s="149"/>
      <c r="Z15" s="149"/>
    </row>
    <row r="16" spans="1:26" ht="16.5" thickBot="1" x14ac:dyDescent="0.3">
      <c r="A16" s="117" t="s">
        <v>70</v>
      </c>
      <c r="B16" s="118"/>
      <c r="E16" s="135" t="s">
        <v>76</v>
      </c>
      <c r="F16" s="139" t="str">
        <f>'Rifle Course 2'!M98</f>
        <v/>
      </c>
      <c r="G16" s="137"/>
      <c r="O16" s="131" t="s">
        <v>107</v>
      </c>
      <c r="P16" s="148"/>
      <c r="Q16" s="133" t="s">
        <v>108</v>
      </c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ht="16.5" thickBot="1" x14ac:dyDescent="0.3">
      <c r="A17" s="117" t="s">
        <v>52</v>
      </c>
      <c r="B17" s="118"/>
      <c r="E17" s="135" t="s">
        <v>109</v>
      </c>
      <c r="F17" s="141" t="str">
        <f>'Rifle Course 2'!M99</f>
        <v/>
      </c>
      <c r="G17" s="137"/>
      <c r="O17" s="131" t="s">
        <v>112</v>
      </c>
      <c r="P17" s="132"/>
      <c r="Q17" s="133" t="s">
        <v>110</v>
      </c>
      <c r="R17" s="134"/>
      <c r="S17" s="134"/>
      <c r="T17" s="134"/>
      <c r="U17" s="134"/>
      <c r="V17" s="134"/>
      <c r="W17" s="134"/>
      <c r="X17" s="134"/>
      <c r="Y17" s="134"/>
      <c r="Z17" s="134"/>
    </row>
    <row r="18" spans="1:26" ht="13.5" thickBot="1" x14ac:dyDescent="0.25">
      <c r="A18" s="150" t="s">
        <v>68</v>
      </c>
      <c r="B18" s="56"/>
      <c r="E18" s="135" t="s">
        <v>101</v>
      </c>
      <c r="F18" s="141" t="str">
        <f>'Rifle Course 2'!M100</f>
        <v/>
      </c>
      <c r="G18" s="130" t="str">
        <f>'Rifle Course 2'!N100</f>
        <v xml:space="preserve"> ◄Max 36T</v>
      </c>
      <c r="O18" s="131" t="s">
        <v>113</v>
      </c>
      <c r="P18" s="132"/>
      <c r="Q18" s="133" t="s">
        <v>111</v>
      </c>
      <c r="R18" s="134"/>
      <c r="S18" s="134"/>
      <c r="T18" s="134"/>
      <c r="U18" s="134"/>
      <c r="V18" s="134"/>
      <c r="W18" s="134"/>
      <c r="X18" s="134"/>
      <c r="Y18" s="134"/>
      <c r="Z18" s="134"/>
    </row>
    <row r="19" spans="1:26" ht="13.5" thickBot="1" x14ac:dyDescent="0.25">
      <c r="A19" s="150" t="s">
        <v>69</v>
      </c>
      <c r="B19" s="56"/>
      <c r="E19" s="144" t="s">
        <v>77</v>
      </c>
      <c r="F19" s="145" t="str">
        <f>'Rifle Course 2'!M101</f>
        <v/>
      </c>
      <c r="G19" s="137"/>
    </row>
    <row r="20" spans="1:26" ht="13.5" thickBot="1" x14ac:dyDescent="0.25">
      <c r="A20" s="150" t="s">
        <v>53</v>
      </c>
      <c r="B20" s="56"/>
    </row>
    <row r="21" spans="1:26" ht="16.5" thickBot="1" x14ac:dyDescent="0.3">
      <c r="A21" s="117" t="s">
        <v>71</v>
      </c>
      <c r="B21" s="118"/>
      <c r="E21" s="117" t="s">
        <v>84</v>
      </c>
      <c r="F21" s="118"/>
      <c r="G21" s="120" t="s">
        <v>85</v>
      </c>
    </row>
    <row r="22" spans="1:26" ht="13.5" thickBot="1" x14ac:dyDescent="0.25">
      <c r="A22" s="150" t="s">
        <v>68</v>
      </c>
      <c r="B22" s="56"/>
      <c r="E22" s="128" t="s">
        <v>74</v>
      </c>
      <c r="F22" s="129">
        <f>'Rifle Course 3'!M94</f>
        <v>0</v>
      </c>
      <c r="G22" s="130" t="str">
        <f>'Rifle Course 3'!N94</f>
        <v/>
      </c>
    </row>
    <row r="23" spans="1:26" ht="13.5" thickBot="1" x14ac:dyDescent="0.25">
      <c r="A23" s="150" t="s">
        <v>69</v>
      </c>
      <c r="B23" s="56"/>
      <c r="E23" s="135" t="s">
        <v>78</v>
      </c>
      <c r="F23" s="129">
        <f>'Rifle Course 3'!M95</f>
        <v>0</v>
      </c>
      <c r="G23" s="137"/>
    </row>
    <row r="24" spans="1:26" ht="13.5" thickBot="1" x14ac:dyDescent="0.25">
      <c r="A24" s="151" t="s">
        <v>53</v>
      </c>
      <c r="B24" s="57"/>
      <c r="E24" s="135" t="s">
        <v>102</v>
      </c>
      <c r="F24" s="63" t="str">
        <f>'Rifle Course 3'!M96</f>
        <v/>
      </c>
      <c r="G24" s="130" t="str">
        <f>'Rifle Course 3'!N96</f>
        <v/>
      </c>
    </row>
    <row r="25" spans="1:26" ht="16.5" thickBot="1" x14ac:dyDescent="0.3">
      <c r="A25" s="117" t="s">
        <v>82</v>
      </c>
      <c r="B25" s="118"/>
      <c r="E25" s="135" t="s">
        <v>75</v>
      </c>
      <c r="F25" s="138" t="str">
        <f>'Rifle Course 3'!M97</f>
        <v/>
      </c>
      <c r="G25" s="137"/>
    </row>
    <row r="26" spans="1:26" x14ac:dyDescent="0.2">
      <c r="A26" s="150" t="s">
        <v>68</v>
      </c>
      <c r="B26" s="56"/>
      <c r="E26" s="135" t="s">
        <v>76</v>
      </c>
      <c r="F26" s="139" t="str">
        <f>'Rifle Course 3'!M98</f>
        <v/>
      </c>
      <c r="G26" s="137"/>
    </row>
    <row r="27" spans="1:26" ht="13.5" thickBot="1" x14ac:dyDescent="0.25">
      <c r="A27" s="150" t="s">
        <v>69</v>
      </c>
      <c r="B27" s="56"/>
      <c r="E27" s="135" t="s">
        <v>109</v>
      </c>
      <c r="F27" s="141" t="str">
        <f>'Rifle Course 3'!M99</f>
        <v/>
      </c>
      <c r="G27" s="137"/>
    </row>
    <row r="28" spans="1:26" ht="13.5" thickBot="1" x14ac:dyDescent="0.25">
      <c r="A28" s="151" t="s">
        <v>53</v>
      </c>
      <c r="B28" s="57"/>
      <c r="E28" s="135" t="s">
        <v>101</v>
      </c>
      <c r="F28" s="141" t="str">
        <f>'Rifle Course 3'!M100</f>
        <v/>
      </c>
      <c r="G28" s="130" t="str">
        <f>'Rifle Course 3'!N100</f>
        <v xml:space="preserve"> ◄Max 36T</v>
      </c>
    </row>
    <row r="29" spans="1:26" ht="13.5" thickBot="1" x14ac:dyDescent="0.25">
      <c r="E29" s="144" t="s">
        <v>77</v>
      </c>
      <c r="F29" s="145" t="str">
        <f>'Rifle Course 3'!M101</f>
        <v/>
      </c>
      <c r="G29" s="137"/>
    </row>
    <row r="30" spans="1:26" ht="13.5" thickBot="1" x14ac:dyDescent="0.25"/>
    <row r="31" spans="1:26" ht="16.5" thickBot="1" x14ac:dyDescent="0.3">
      <c r="E31" s="117" t="s">
        <v>70</v>
      </c>
      <c r="F31" s="118"/>
      <c r="G31" s="120" t="s">
        <v>85</v>
      </c>
    </row>
    <row r="32" spans="1:26" ht="13.5" thickBot="1" x14ac:dyDescent="0.25">
      <c r="E32" s="128" t="s">
        <v>74</v>
      </c>
      <c r="F32" s="129">
        <f>F2+F12+F22</f>
        <v>0</v>
      </c>
      <c r="G32" s="130" t="str">
        <f>IF(0&lt;F32&lt;100,$O$9,"")</f>
        <v/>
      </c>
    </row>
    <row r="33" spans="5:7" ht="13.5" thickBot="1" x14ac:dyDescent="0.25">
      <c r="E33" s="135" t="s">
        <v>78</v>
      </c>
      <c r="F33" s="129">
        <f>F3+F13+F23</f>
        <v>0</v>
      </c>
      <c r="G33" s="137"/>
    </row>
    <row r="34" spans="5:7" ht="13.5" thickBot="1" x14ac:dyDescent="0.25">
      <c r="E34" s="135" t="s">
        <v>102</v>
      </c>
      <c r="F34" s="62">
        <f>MIN(F4,F14, F24)</f>
        <v>0</v>
      </c>
      <c r="G34" s="130" t="str">
        <f>IF(0&lt;F34&lt;0.3, $O$7, "")</f>
        <v/>
      </c>
    </row>
    <row r="35" spans="5:7" x14ac:dyDescent="0.2">
      <c r="E35" s="135" t="s">
        <v>75</v>
      </c>
      <c r="F35" s="140" t="str">
        <f>IFERROR(AVERAGE(F5, F25, F15), "")</f>
        <v/>
      </c>
      <c r="G35" s="137"/>
    </row>
    <row r="36" spans="5:7" x14ac:dyDescent="0.2">
      <c r="E36" s="135" t="s">
        <v>76</v>
      </c>
      <c r="F36" s="143" t="str">
        <f>IFERROR(AVERAGE(F6,F16,F26), "")</f>
        <v/>
      </c>
      <c r="G36" s="137"/>
    </row>
    <row r="37" spans="5:7" ht="13.5" thickBot="1" x14ac:dyDescent="0.25">
      <c r="E37" s="135" t="s">
        <v>109</v>
      </c>
      <c r="F37" s="143" t="str">
        <f>IFERROR(_xlfn.STDEV.P(F8,F18,F28), "")</f>
        <v/>
      </c>
      <c r="G37" s="137"/>
    </row>
    <row r="38" spans="5:7" ht="13.5" thickBot="1" x14ac:dyDescent="0.25">
      <c r="E38" s="135" t="s">
        <v>101</v>
      </c>
      <c r="F38" s="143" t="str">
        <f>IFERROR(AVERAGE(F8,F18,F28), "")</f>
        <v/>
      </c>
      <c r="G38" s="130" t="str">
        <f>IF(F38&lt;28, $O$6, "") &amp; " " &amp; IF(F38&gt;36, $O$5, "")</f>
        <v xml:space="preserve"> ◄Max 36T</v>
      </c>
    </row>
    <row r="39" spans="5:7" ht="13.5" thickBot="1" x14ac:dyDescent="0.25">
      <c r="E39" s="144" t="s">
        <v>77</v>
      </c>
      <c r="F39" s="145" t="str">
        <f>IFERROR(AVERAGE(F9,F19,F29), "")</f>
        <v/>
      </c>
      <c r="G39" s="137"/>
    </row>
  </sheetData>
  <sheetProtection algorithmName="SHA-512" hashValue="ePPf9347RWto57GkoaVrW1P9uJxxZrOztaiS90h4uDpMlOmPfFITtdalOsCKzchoCSWuaRQ3hDVzRPovVcl5jQ==" saltValue="YWRcjWRdrN9qsSbSi2F+og==" spinCount="100000" sheet="1" objects="1" scenarios="1" selectLockedCells="1"/>
  <mergeCells count="45">
    <mergeCell ref="J1:K1"/>
    <mergeCell ref="E21:F21"/>
    <mergeCell ref="E31:F31"/>
    <mergeCell ref="A11:B11"/>
    <mergeCell ref="A17:B17"/>
    <mergeCell ref="A21:B21"/>
    <mergeCell ref="A1:B1"/>
    <mergeCell ref="A16:B16"/>
    <mergeCell ref="E1:F1"/>
    <mergeCell ref="E11:F11"/>
    <mergeCell ref="A25:B25"/>
    <mergeCell ref="O1:P1"/>
    <mergeCell ref="Q1:Z1"/>
    <mergeCell ref="O2:P2"/>
    <mergeCell ref="Q2:Z2"/>
    <mergeCell ref="O3:P3"/>
    <mergeCell ref="Q3:Z3"/>
    <mergeCell ref="O4:P4"/>
    <mergeCell ref="Q4:Z4"/>
    <mergeCell ref="O5:P5"/>
    <mergeCell ref="Q5:Z5"/>
    <mergeCell ref="O6:P6"/>
    <mergeCell ref="Q6:Z6"/>
    <mergeCell ref="O7:P7"/>
    <mergeCell ref="Q7:Z7"/>
    <mergeCell ref="O11:P11"/>
    <mergeCell ref="Q11:Z11"/>
    <mergeCell ref="O12:P12"/>
    <mergeCell ref="Q12:Z12"/>
    <mergeCell ref="O8:P8"/>
    <mergeCell ref="Q8:Z8"/>
    <mergeCell ref="O13:P13"/>
    <mergeCell ref="Q13:Z13"/>
    <mergeCell ref="O14:P14"/>
    <mergeCell ref="Q14:Z14"/>
    <mergeCell ref="O17:P17"/>
    <mergeCell ref="Q17:Z17"/>
    <mergeCell ref="O18:P18"/>
    <mergeCell ref="Q18:Z18"/>
    <mergeCell ref="O9:P9"/>
    <mergeCell ref="Q9:Z9"/>
    <mergeCell ref="O16:P16"/>
    <mergeCell ref="Q16:Z16"/>
    <mergeCell ref="O15:P15"/>
    <mergeCell ref="Q15:Z15"/>
  </mergeCells>
  <conditionalFormatting sqref="B2:B9 B12:B14 B18:B20 B22:B24">
    <cfRule type="expression" dxfId="136" priority="16">
      <formula>ISBLANK(B2)</formula>
    </cfRule>
  </conditionalFormatting>
  <conditionalFormatting sqref="B26:B28">
    <cfRule type="expression" dxfId="135" priority="1">
      <formula>ISBLANK(B26)</formula>
    </cfRule>
  </conditionalFormatting>
  <conditionalFormatting sqref="F2">
    <cfRule type="expression" dxfId="134" priority="6">
      <formula>OR($F$2*2&gt;60)</formula>
    </cfRule>
  </conditionalFormatting>
  <conditionalFormatting sqref="F4">
    <cfRule type="expression" dxfId="133" priority="15">
      <formula>$F$4&lt;0.3</formula>
    </cfRule>
  </conditionalFormatting>
  <conditionalFormatting sqref="F8">
    <cfRule type="expression" dxfId="132" priority="11">
      <formula>OR($F$8&gt;36, $F$8&lt;28)</formula>
    </cfRule>
  </conditionalFormatting>
  <conditionalFormatting sqref="F12">
    <cfRule type="expression" dxfId="131" priority="5">
      <formula>$F$12*2&gt;60</formula>
    </cfRule>
  </conditionalFormatting>
  <conditionalFormatting sqref="F14">
    <cfRule type="expression" dxfId="130" priority="14">
      <formula>$F$14&lt;0.3</formula>
    </cfRule>
  </conditionalFormatting>
  <conditionalFormatting sqref="F18">
    <cfRule type="expression" dxfId="129" priority="10">
      <formula>OR($F$18&gt;36, $F$18&lt;28)</formula>
    </cfRule>
  </conditionalFormatting>
  <conditionalFormatting sqref="F22">
    <cfRule type="expression" dxfId="128" priority="4">
      <formula>$F$22*2&gt;60</formula>
    </cfRule>
  </conditionalFormatting>
  <conditionalFormatting sqref="F24">
    <cfRule type="expression" dxfId="127" priority="13">
      <formula>$F$24&lt;0.3</formula>
    </cfRule>
  </conditionalFormatting>
  <conditionalFormatting sqref="F28">
    <cfRule type="expression" dxfId="126" priority="9">
      <formula>OR($F$28&gt;36, $F$28&lt;28)</formula>
    </cfRule>
  </conditionalFormatting>
  <conditionalFormatting sqref="F32">
    <cfRule type="expression" dxfId="125" priority="2">
      <formula>0&lt;$F$32&lt;100</formula>
    </cfRule>
  </conditionalFormatting>
  <conditionalFormatting sqref="F34">
    <cfRule type="expression" dxfId="124" priority="12">
      <formula>0&lt;$F$34&lt;0.3</formula>
    </cfRule>
  </conditionalFormatting>
  <conditionalFormatting sqref="F38">
    <cfRule type="expression" dxfId="123" priority="8">
      <formula>OR($F$38&gt;36, $F$38&lt;28)</formula>
    </cfRule>
  </conditionalFormatting>
  <conditionalFormatting sqref="K2">
    <cfRule type="expression" dxfId="122" priority="3">
      <formula>OR(0&lt;$K$2*2&lt;40,$K$2*2&gt;60)</formula>
    </cfRule>
  </conditionalFormatting>
  <conditionalFormatting sqref="K6">
    <cfRule type="expression" dxfId="121" priority="7">
      <formula>OR($K$6&gt;36,$K$6&lt;30)</formula>
    </cfRule>
  </conditionalFormatting>
  <dataValidations count="1">
    <dataValidation type="date" allowBlank="1" sqref="B6:B7" xr:uid="{2337CCC8-DB4C-4F25-9864-6288FB1C7D86}">
      <formula1>44197</formula1>
      <formula2>55153</formula2>
    </dataValidation>
  </dataValidations>
  <pageMargins left="0.7" right="0.7" top="0.75" bottom="0.75" header="0.3" footer="0.3"/>
  <ignoredErrors>
    <ignoredError sqref="F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21ED6-E7BE-41F7-822E-0056C8B418CB}">
  <dimension ref="A1:AB10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8.140625" style="186" customWidth="1"/>
    <col min="2" max="2" width="8" style="119" customWidth="1"/>
    <col min="3" max="3" width="20.85546875" style="180" customWidth="1"/>
    <col min="4" max="4" width="7.5703125" style="180" customWidth="1"/>
    <col min="5" max="5" width="26.140625" style="180" customWidth="1"/>
    <col min="6" max="6" width="10" style="187" customWidth="1"/>
    <col min="7" max="7" width="7.85546875" style="201" customWidth="1"/>
    <col min="8" max="9" width="5.42578125" style="119" customWidth="1"/>
    <col min="10" max="11" width="5.28515625" style="119" customWidth="1"/>
    <col min="12" max="13" width="7.42578125" style="119" bestFit="1" customWidth="1"/>
    <col min="14" max="14" width="27.42578125" style="119" customWidth="1"/>
    <col min="15" max="15" width="8.140625" style="119" bestFit="1" customWidth="1"/>
    <col min="16" max="16" width="10" style="119" bestFit="1" customWidth="1"/>
    <col min="17" max="17" width="12.42578125" style="119" customWidth="1"/>
    <col min="18" max="18" width="14" style="119" customWidth="1"/>
    <col min="19" max="16384" width="9.140625" style="119"/>
  </cols>
  <sheetData>
    <row r="1" spans="1:28" ht="26.25" x14ac:dyDescent="0.2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28" ht="23.25" x14ac:dyDescent="0.2">
      <c r="A2" s="162" t="s">
        <v>83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28" ht="68.25" thickBot="1" x14ac:dyDescent="0.25">
      <c r="A3" s="165" t="s">
        <v>1</v>
      </c>
      <c r="B3" s="166" t="s">
        <v>2</v>
      </c>
      <c r="C3" s="165" t="s">
        <v>3</v>
      </c>
      <c r="D3" s="165" t="s">
        <v>4</v>
      </c>
      <c r="E3" s="167" t="s">
        <v>5</v>
      </c>
      <c r="F3" s="168" t="s">
        <v>6</v>
      </c>
      <c r="G3" s="169" t="s">
        <v>7</v>
      </c>
      <c r="H3" s="169" t="s">
        <v>8</v>
      </c>
      <c r="I3" s="170" t="s">
        <v>9</v>
      </c>
      <c r="J3" s="170" t="s">
        <v>10</v>
      </c>
      <c r="K3" s="169" t="s">
        <v>11</v>
      </c>
      <c r="L3" s="171" t="s">
        <v>100</v>
      </c>
      <c r="M3" s="172" t="s">
        <v>53</v>
      </c>
      <c r="N3" s="172" t="s">
        <v>85</v>
      </c>
    </row>
    <row r="4" spans="1:28" x14ac:dyDescent="0.2">
      <c r="A4" s="153">
        <v>1</v>
      </c>
      <c r="B4" s="154" t="s">
        <v>12</v>
      </c>
      <c r="C4" s="30"/>
      <c r="D4" s="61"/>
      <c r="E4" s="32"/>
      <c r="F4" s="33"/>
      <c r="G4" s="45"/>
      <c r="H4" s="34"/>
      <c r="I4" s="34"/>
      <c r="J4" s="34"/>
      <c r="K4" s="34"/>
      <c r="L4" s="173" t="str">
        <f>IFERROR('Pistol Troyer'!$J$2*(F4/D4)*(1+IF(G4="X", 0.75, 0) +IF(H4="X", 0.5, 0) + IF(I4="X", 0.25, 0) ), "")</f>
        <v/>
      </c>
      <c r="M4" s="174" t="str">
        <f>IFERROR('Pistol Troyer'!$J$2*(F4/D4)*(1+IF(G4="X", 0.75, 0) +IF(H4="X", 0.5, 0) + IF(I4="X", 0.25, 0) + IF(J4="X", 0.25, 0) + IF(K4="X", 0.25, 0)), "")</f>
        <v/>
      </c>
      <c r="N4" s="175" t="str">
        <f>_xlfn.IFNA(IF(OR(L4&gt;50, OR(OR(VLOOKUP(D4,'Selection Lists'!$A$4:$B$17, 2, FALSE)&lt;1/2, VLOOKUP(D4, 'Selection Lists'!$A$4:$B$17, 2, FALSE)&gt;2)), OR(INT(F4)&lt;10, INT(F4)&gt;35)), $Q$5, ""), "") &amp; " " &amp; _xlfn.IFNA(IF(AND(VLOOKUP(D4, 'Selection Lists'!$A$4:$B$17, 2, FALSE)&lt;1.5, INT(F4)&gt;30), $Q$6, ""), "") &amp; " " &amp; _xlfn.IFNA(IF(AND(OR(G4="X",H4="X"), OR(VLOOKUP(D4, 'Selection Lists'!$A$4:$B$17, 2, FALSE)&lt;1, INT(F4)&gt;30)), $Q$7, ""), "")</f>
        <v xml:space="preserve">  </v>
      </c>
      <c r="Q4" s="122" t="s">
        <v>103</v>
      </c>
      <c r="R4" s="148"/>
      <c r="S4" s="124" t="s">
        <v>87</v>
      </c>
      <c r="T4" s="149"/>
      <c r="U4" s="149"/>
      <c r="V4" s="149"/>
      <c r="W4" s="149"/>
      <c r="X4" s="149"/>
      <c r="Y4" s="149"/>
      <c r="Z4" s="149"/>
      <c r="AA4" s="149"/>
      <c r="AB4" s="149"/>
    </row>
    <row r="5" spans="1:28" x14ac:dyDescent="0.2">
      <c r="A5" s="155"/>
      <c r="B5" s="156" t="s">
        <v>73</v>
      </c>
      <c r="C5" s="26"/>
      <c r="D5" s="27"/>
      <c r="E5" s="26"/>
      <c r="F5" s="28"/>
      <c r="G5" s="46"/>
      <c r="H5" s="29"/>
      <c r="I5" s="29"/>
      <c r="J5" s="29"/>
      <c r="K5" s="29"/>
      <c r="L5" s="176" t="str">
        <f>IFERROR('Pistol Troyer'!$J$2*(F5/D5)*(1+IF(G5="X", 0.75, 0) +IF(H5="X", 0.5, 0) + IF(I5="X", 0.25, 0) ), "")</f>
        <v/>
      </c>
      <c r="M5" s="177" t="str">
        <f>IFERROR('Pistol Troyer'!$J$2*(F5/D5)*(1+IF(G5="X", 0.75, 0) +IF(H5="X", 0.5, 0) + IF(I5="X", 0.25, 0) + IF(J5="X", 0.25, 0) + IF(K5="X", 0.25, 0)), "")</f>
        <v/>
      </c>
      <c r="N5" s="175" t="str">
        <f>_xlfn.IFNA(IF(OR(L5&gt;50, OR(OR(VLOOKUP(D5,'Selection Lists'!$A$4:$B$17, 2, FALSE)&lt;1/2, VLOOKUP(D5, 'Selection Lists'!$A$4:$B$17, 2, FALSE)&gt;2)), OR(INT(F5)&lt;10, INT(F5)&gt;35)), $Q$5, ""), "") &amp; " " &amp; _xlfn.IFNA(IF(AND(VLOOKUP(D5, 'Selection Lists'!$A$4:$B$17, 2, FALSE)&lt;1.5, INT(F5)&gt;30), $Q$6, ""), "") &amp; " " &amp; _xlfn.IFNA(IF(AND(OR(G5="X",H5="X"), OR(VLOOKUP(D5, 'Selection Lists'!$A$4:$B$17, 2, FALSE)&lt;1, INT(F5)&gt;30)), $Q$7, ""), "")</f>
        <v xml:space="preserve">  </v>
      </c>
      <c r="Q5" s="131" t="s">
        <v>88</v>
      </c>
      <c r="R5" s="148"/>
      <c r="S5" s="133" t="s">
        <v>104</v>
      </c>
      <c r="T5" s="149"/>
      <c r="U5" s="149"/>
      <c r="V5" s="149"/>
      <c r="W5" s="149"/>
      <c r="X5" s="149"/>
      <c r="Y5" s="149"/>
      <c r="Z5" s="149"/>
      <c r="AA5" s="149"/>
      <c r="AB5" s="149"/>
    </row>
    <row r="6" spans="1:28" ht="13.5" thickBot="1" x14ac:dyDescent="0.25">
      <c r="A6" s="157"/>
      <c r="B6" s="158" t="s">
        <v>14</v>
      </c>
      <c r="C6" s="35"/>
      <c r="D6" s="36"/>
      <c r="E6" s="35"/>
      <c r="F6" s="37"/>
      <c r="G6" s="47"/>
      <c r="H6" s="38"/>
      <c r="I6" s="38"/>
      <c r="J6" s="38"/>
      <c r="K6" s="38"/>
      <c r="L6" s="178" t="str">
        <f>IFERROR('Pistol Troyer'!$J$2*(F6/D6)*(1+IF(G6="X", 0.75, 0) +IF(H6="X", 0.5, 0) + IF(I6="X", 0.25, 0) ), "")</f>
        <v/>
      </c>
      <c r="M6" s="179" t="str">
        <f>IFERROR('Pistol Troyer'!$J$2*(F6/D6)*(1+IF(G6="X", 0.75, 0) +IF(H6="X", 0.5, 0) + IF(I6="X", 0.25, 0) + IF(J6="X", 0.25, 0) + IF(K6="X", 0.25, 0)), "")</f>
        <v/>
      </c>
      <c r="N6" s="175" t="str">
        <f>_xlfn.IFNA(IF(OR(L6&gt;50, OR(OR(VLOOKUP(D6,'Selection Lists'!$A$4:$B$17, 2, FALSE)&lt;1/2, VLOOKUP(D6, 'Selection Lists'!$A$4:$B$17, 2, FALSE)&gt;2)), OR(INT(F6)&lt;10, INT(F6)&gt;35)), $Q$5, ""), "") &amp; " " &amp; _xlfn.IFNA(IF(AND(VLOOKUP(D6, 'Selection Lists'!$A$4:$B$17, 2, FALSE)&lt;1.5, INT(F6)&gt;30), $Q$6, ""), "") &amp; " " &amp; _xlfn.IFNA(IF(AND(OR(G6="X",H6="X"), OR(VLOOKUP(D6, 'Selection Lists'!$A$4:$B$17, 2, FALSE)&lt;1, INT(F6)&gt;30)), $Q$7, ""), "")</f>
        <v xml:space="preserve">  </v>
      </c>
      <c r="Q6" s="131" t="s">
        <v>90</v>
      </c>
      <c r="R6" s="148"/>
      <c r="S6" s="133" t="s">
        <v>105</v>
      </c>
      <c r="T6" s="149"/>
      <c r="U6" s="149"/>
      <c r="V6" s="149"/>
      <c r="W6" s="149"/>
      <c r="X6" s="149"/>
      <c r="Y6" s="149"/>
      <c r="Z6" s="149"/>
      <c r="AA6" s="149"/>
      <c r="AB6" s="149"/>
    </row>
    <row r="7" spans="1:28" x14ac:dyDescent="0.2">
      <c r="A7" s="153">
        <v>2</v>
      </c>
      <c r="B7" s="154" t="s">
        <v>12</v>
      </c>
      <c r="C7" s="30"/>
      <c r="D7" s="31"/>
      <c r="E7" s="32"/>
      <c r="F7" s="33"/>
      <c r="G7" s="45"/>
      <c r="H7" s="34"/>
      <c r="I7" s="34"/>
      <c r="J7" s="34"/>
      <c r="K7" s="34"/>
      <c r="L7" s="173" t="str">
        <f>IFERROR('Pistol Troyer'!$J$2*(F7/D7)*(1+IF(G7="X", 0.75, 0) +IF(H7="X", 0.5, 0) + IF(I7="X", 0.25, 0) ), "")</f>
        <v/>
      </c>
      <c r="M7" s="174" t="str">
        <f>IFERROR('Pistol Troyer'!$J$2*(F7/D7)*(1+IF(G7="X", 0.75, 0) +IF(H7="X", 0.5, 0) + IF(I7="X", 0.25, 0) + IF(J7="X", 0.25, 0) + IF(K7="X", 0.25, 0)), "")</f>
        <v/>
      </c>
      <c r="N7" s="175" t="str">
        <f>_xlfn.IFNA(IF(OR(L7&gt;50, OR(OR(VLOOKUP(D7,'Selection Lists'!$A$4:$B$17, 2, FALSE)&lt;1/2, VLOOKUP(D7, 'Selection Lists'!$A$4:$B$17, 2, FALSE)&gt;2)), OR(INT(F7)&lt;10, INT(F7)&gt;35)), $Q$5, ""), "") &amp; " " &amp; _xlfn.IFNA(IF(AND(VLOOKUP(D7, 'Selection Lists'!$A$4:$B$17, 2, FALSE)&lt;1.5, INT(F7)&gt;30), $Q$6, ""), "") &amp; " " &amp; _xlfn.IFNA(IF(AND(OR(G7="X",H7="X"), OR(VLOOKUP(D7, 'Selection Lists'!$A$4:$B$17, 2, FALSE)&lt;1, INT(F7)&gt;30)), $Q$7, ""), "")</f>
        <v xml:space="preserve">  </v>
      </c>
      <c r="Q7" s="131" t="s">
        <v>92</v>
      </c>
      <c r="R7" s="148"/>
      <c r="S7" s="133" t="s">
        <v>106</v>
      </c>
      <c r="T7" s="149"/>
      <c r="U7" s="149"/>
      <c r="V7" s="149"/>
      <c r="W7" s="149"/>
      <c r="X7" s="149"/>
      <c r="Y7" s="149"/>
      <c r="Z7" s="149"/>
      <c r="AA7" s="149"/>
      <c r="AB7" s="149"/>
    </row>
    <row r="8" spans="1:28" x14ac:dyDescent="0.2">
      <c r="A8" s="155"/>
      <c r="B8" s="156" t="s">
        <v>13</v>
      </c>
      <c r="C8" s="26"/>
      <c r="D8" s="27"/>
      <c r="E8" s="26"/>
      <c r="F8" s="28"/>
      <c r="G8" s="46"/>
      <c r="H8" s="29"/>
      <c r="I8" s="29"/>
      <c r="J8" s="29"/>
      <c r="K8" s="29"/>
      <c r="L8" s="176" t="str">
        <f>IFERROR('Pistol Troyer'!$J$2*(F8/D8)*(1+IF(G8="X", 0.75, 0) +IF(H8="X", 0.5, 0) + IF(I8="X", 0.25, 0) ), "")</f>
        <v/>
      </c>
      <c r="M8" s="177" t="str">
        <f>IFERROR('Pistol Troyer'!$J$2*(F8/D8)*(1+IF(G8="X", 0.75, 0) +IF(H8="X", 0.5, 0) + IF(I8="X", 0.25, 0) + IF(J8="X", 0.25, 0) + IF(K8="X", 0.25, 0)), "")</f>
        <v/>
      </c>
      <c r="N8" s="175" t="str">
        <f>_xlfn.IFNA(IF(OR(L8&gt;50, OR(OR(VLOOKUP(D8,'Selection Lists'!$A$4:$B$17, 2, FALSE)&lt;1/2, VLOOKUP(D8, 'Selection Lists'!$A$4:$B$17, 2, FALSE)&gt;2)), OR(INT(F8)&lt;10, INT(F8)&gt;35)), $Q$5, ""), "") &amp; " " &amp; _xlfn.IFNA(IF(AND(VLOOKUP(D8, 'Selection Lists'!$A$4:$B$17, 2, FALSE)&lt;1.5, INT(F8)&gt;30), $Q$6, ""), "") &amp; " " &amp; _xlfn.IFNA(IF(AND(OR(G8="X",H8="X"), OR(VLOOKUP(D8, 'Selection Lists'!$A$4:$B$17, 2, FALSE)&lt;1, INT(F8)&gt;30)), $Q$7, ""), "")</f>
        <v xml:space="preserve">  </v>
      </c>
      <c r="Q8" s="131" t="s">
        <v>94</v>
      </c>
      <c r="R8" s="148"/>
      <c r="S8" s="133" t="s">
        <v>95</v>
      </c>
      <c r="T8" s="149"/>
      <c r="U8" s="149"/>
      <c r="V8" s="149"/>
      <c r="W8" s="149"/>
      <c r="X8" s="149"/>
      <c r="Y8" s="149"/>
      <c r="Z8" s="149"/>
      <c r="AA8" s="149"/>
      <c r="AB8" s="149"/>
    </row>
    <row r="9" spans="1:28" ht="13.5" thickBot="1" x14ac:dyDescent="0.25">
      <c r="A9" s="157"/>
      <c r="B9" s="158" t="s">
        <v>14</v>
      </c>
      <c r="C9" s="35"/>
      <c r="D9" s="36"/>
      <c r="E9" s="35"/>
      <c r="F9" s="37"/>
      <c r="G9" s="47"/>
      <c r="H9" s="38"/>
      <c r="I9" s="38"/>
      <c r="J9" s="38"/>
      <c r="K9" s="38"/>
      <c r="L9" s="178" t="str">
        <f>IFERROR('Pistol Troyer'!$J$2*(F9/D9)*(1+IF(G9="X", 0.75, 0) +IF(H9="X", 0.5, 0) + IF(I9="X", 0.25, 0) ), "")</f>
        <v/>
      </c>
      <c r="M9" s="179" t="str">
        <f>IFERROR('Pistol Troyer'!$J$2*(F9/D9)*(1+IF(G9="X", 0.75, 0) +IF(H9="X", 0.5, 0) + IF(I9="X", 0.25, 0) + IF(J9="X", 0.25, 0) + IF(K9="X", 0.25, 0)), "")</f>
        <v/>
      </c>
      <c r="N9" s="175" t="str">
        <f>_xlfn.IFNA(IF(OR(L9&gt;50, OR(OR(VLOOKUP(D9,'Selection Lists'!$A$4:$B$17, 2, FALSE)&lt;1/2, VLOOKUP(D9, 'Selection Lists'!$A$4:$B$17, 2, FALSE)&gt;2)), OR(INT(F9)&lt;10, INT(F9)&gt;35)), $Q$5, ""), "") &amp; " " &amp; _xlfn.IFNA(IF(AND(VLOOKUP(D9, 'Selection Lists'!$A$4:$B$17, 2, FALSE)&lt;1.5, INT(F9)&gt;30), $Q$6, ""), "") &amp; " " &amp; _xlfn.IFNA(IF(AND(OR(G9="X",H9="X"), OR(VLOOKUP(D9, 'Selection Lists'!$A$4:$B$17, 2, FALSE)&lt;1, INT(F9)&gt;30)), $Q$7, ""), "")</f>
        <v xml:space="preserve">  </v>
      </c>
      <c r="Q9" s="131" t="s">
        <v>107</v>
      </c>
      <c r="R9" s="148"/>
      <c r="S9" s="133" t="s">
        <v>108</v>
      </c>
      <c r="T9" s="149"/>
      <c r="U9" s="149"/>
      <c r="V9" s="149"/>
      <c r="W9" s="149"/>
      <c r="X9" s="149"/>
      <c r="Y9" s="149"/>
      <c r="Z9" s="149"/>
      <c r="AA9" s="149"/>
      <c r="AB9" s="149"/>
    </row>
    <row r="10" spans="1:28" x14ac:dyDescent="0.2">
      <c r="A10" s="153">
        <v>3</v>
      </c>
      <c r="B10" s="154" t="s">
        <v>12</v>
      </c>
      <c r="C10" s="30"/>
      <c r="D10" s="31"/>
      <c r="E10" s="32"/>
      <c r="F10" s="33"/>
      <c r="G10" s="45"/>
      <c r="H10" s="34"/>
      <c r="I10" s="34"/>
      <c r="J10" s="34"/>
      <c r="K10" s="34"/>
      <c r="L10" s="173" t="str">
        <f>IFERROR('Pistol Troyer'!$J$2*(F10/D10)*(1+IF(G10="X", 0.75, 0) +IF(H10="X", 0.5, 0) + IF(I10="X", 0.25, 0) ), "")</f>
        <v/>
      </c>
      <c r="M10" s="174" t="str">
        <f>IFERROR('Pistol Troyer'!$J$2*(F10/D10)*(1+IF(G10="X", 0.75, 0) +IF(H10="X", 0.5, 0) + IF(I10="X", 0.25, 0) + IF(J10="X", 0.25, 0) + IF(K10="X", 0.25, 0)), "")</f>
        <v/>
      </c>
      <c r="N10" s="175" t="str">
        <f>_xlfn.IFNA(IF(OR(L10&gt;50, OR(OR(VLOOKUP(D10,'Selection Lists'!$A$4:$B$17, 2, FALSE)&lt;1/2, VLOOKUP(D10, 'Selection Lists'!$A$4:$B$17, 2, FALSE)&gt;2)), OR(INT(F10)&lt;10, INT(F10)&gt;35)), $Q$5, ""), "") &amp; " " &amp; _xlfn.IFNA(IF(AND(VLOOKUP(D10, 'Selection Lists'!$A$4:$B$17, 2, FALSE)&lt;1.5, INT(F10)&gt;30), $Q$6, ""), "") &amp; " " &amp; _xlfn.IFNA(IF(AND(OR(G10="X",H10="X"), OR(VLOOKUP(D10, 'Selection Lists'!$A$4:$B$17, 2, FALSE)&lt;1, INT(F10)&gt;30)), $Q$7, ""), "")</f>
        <v xml:space="preserve">  </v>
      </c>
      <c r="Q10" s="131" t="s">
        <v>112</v>
      </c>
      <c r="R10" s="132"/>
      <c r="S10" s="133" t="s">
        <v>110</v>
      </c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 x14ac:dyDescent="0.2">
      <c r="A11" s="155"/>
      <c r="B11" s="156" t="s">
        <v>13</v>
      </c>
      <c r="C11" s="26"/>
      <c r="D11" s="27"/>
      <c r="E11" s="26"/>
      <c r="F11" s="28"/>
      <c r="G11" s="46"/>
      <c r="H11" s="29"/>
      <c r="I11" s="29"/>
      <c r="J11" s="29"/>
      <c r="K11" s="29"/>
      <c r="L11" s="176" t="str">
        <f>IFERROR('Pistol Troyer'!$J$2*(F11/D11)*(1+IF(G11="X", 0.75, 0) +IF(H11="X", 0.5, 0) + IF(I11="X", 0.25, 0) ), "")</f>
        <v/>
      </c>
      <c r="M11" s="177" t="str">
        <f>IFERROR('Pistol Troyer'!$J$2*(F11/D11)*(1+IF(G11="X", 0.75, 0) +IF(H11="X", 0.5, 0) + IF(I11="X", 0.25, 0) + IF(J11="X", 0.25, 0) + IF(K11="X", 0.25, 0)), "")</f>
        <v/>
      </c>
      <c r="N11" s="175" t="str">
        <f>_xlfn.IFNA(IF(OR(L11&gt;50, OR(OR(VLOOKUP(D11,'Selection Lists'!$A$4:$B$17, 2, FALSE)&lt;1/2, VLOOKUP(D11, 'Selection Lists'!$A$4:$B$17, 2, FALSE)&gt;2)), OR(INT(F11)&lt;10, INT(F11)&gt;35)), $Q$5, ""), "") &amp; " " &amp; _xlfn.IFNA(IF(AND(VLOOKUP(D11, 'Selection Lists'!$A$4:$B$17, 2, FALSE)&lt;1.5, INT(F11)&gt;30), $Q$6, ""), "") &amp; " " &amp; _xlfn.IFNA(IF(AND(OR(G11="X",H11="X"), OR(VLOOKUP(D11, 'Selection Lists'!$A$4:$B$17, 2, FALSE)&lt;1, INT(F11)&gt;30)), $Q$7, ""), "")</f>
        <v xml:space="preserve">  </v>
      </c>
      <c r="Q11" s="131" t="s">
        <v>113</v>
      </c>
      <c r="R11" s="132"/>
      <c r="S11" s="133" t="s">
        <v>111</v>
      </c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3.5" thickBot="1" x14ac:dyDescent="0.25">
      <c r="A12" s="157"/>
      <c r="B12" s="158" t="s">
        <v>14</v>
      </c>
      <c r="C12" s="35"/>
      <c r="D12" s="36"/>
      <c r="E12" s="35"/>
      <c r="F12" s="37"/>
      <c r="G12" s="47"/>
      <c r="H12" s="38"/>
      <c r="I12" s="38"/>
      <c r="J12" s="38"/>
      <c r="K12" s="38"/>
      <c r="L12" s="178" t="str">
        <f>IFERROR('Pistol Troyer'!$J$2*(F12/D12)*(1+IF(G12="X", 0.75, 0) +IF(H12="X", 0.5, 0) + IF(I12="X", 0.25, 0) ), "")</f>
        <v/>
      </c>
      <c r="M12" s="179" t="str">
        <f>IFERROR('Pistol Troyer'!$J$2*(F12/D12)*(1+IF(G12="X", 0.75, 0) +IF(H12="X", 0.5, 0) + IF(I12="X", 0.25, 0) + IF(J12="X", 0.25, 0) + IF(K12="X", 0.25, 0)), "")</f>
        <v/>
      </c>
      <c r="N12" s="175" t="str">
        <f>_xlfn.IFNA(IF(OR(L12&gt;50, OR(OR(VLOOKUP(D12,'Selection Lists'!$A$4:$B$17, 2, FALSE)&lt;1/2, VLOOKUP(D12, 'Selection Lists'!$A$4:$B$17, 2, FALSE)&gt;2)), OR(INT(F12)&lt;10, INT(F12)&gt;35)), $Q$5, ""), "") &amp; " " &amp; _xlfn.IFNA(IF(AND(VLOOKUP(D12, 'Selection Lists'!$A$4:$B$17, 2, FALSE)&lt;1.5, INT(F12)&gt;30), $Q$6, ""), "") &amp; " " &amp; _xlfn.IFNA(IF(AND(OR(G12="X",H12="X"), OR(VLOOKUP(D12, 'Selection Lists'!$A$4:$B$17, 2, FALSE)&lt;1, INT(F12)&gt;30)), $Q$7, ""), "")</f>
        <v xml:space="preserve">  </v>
      </c>
    </row>
    <row r="13" spans="1:28" x14ac:dyDescent="0.2">
      <c r="A13" s="153">
        <v>4</v>
      </c>
      <c r="B13" s="154" t="s">
        <v>12</v>
      </c>
      <c r="C13" s="30"/>
      <c r="D13" s="31"/>
      <c r="E13" s="32"/>
      <c r="F13" s="33"/>
      <c r="G13" s="45"/>
      <c r="H13" s="34"/>
      <c r="I13" s="34"/>
      <c r="J13" s="34"/>
      <c r="K13" s="34"/>
      <c r="L13" s="173" t="str">
        <f>IFERROR('Pistol Troyer'!$J$2*(F13/D13)*(1+IF(G13="X", 0.75, 0) +IF(H13="X", 0.5, 0) + IF(I13="X", 0.25, 0) ), "")</f>
        <v/>
      </c>
      <c r="M13" s="174" t="str">
        <f>IFERROR('Pistol Troyer'!$J$2*(F13/D13)*(1+IF(G13="X", 0.75, 0) +IF(H13="X", 0.5, 0) + IF(I13="X", 0.25, 0) + IF(J13="X", 0.25, 0) + IF(K13="X", 0.25, 0)), "")</f>
        <v/>
      </c>
      <c r="N13" s="175" t="str">
        <f>_xlfn.IFNA(IF(OR(L13&gt;50, OR(OR(VLOOKUP(D13,'Selection Lists'!$A$4:$B$17, 2, FALSE)&lt;1/2, VLOOKUP(D13, 'Selection Lists'!$A$4:$B$17, 2, FALSE)&gt;2)), OR(INT(F13)&lt;10, INT(F13)&gt;35)), $Q$5, ""), "") &amp; " " &amp; _xlfn.IFNA(IF(AND(VLOOKUP(D13, 'Selection Lists'!$A$4:$B$17, 2, FALSE)&lt;1.5, INT(F13)&gt;30), $Q$6, ""), "") &amp; " " &amp; _xlfn.IFNA(IF(AND(OR(G13="X",H13="X"), OR(VLOOKUP(D13, 'Selection Lists'!$A$4:$B$17, 2, FALSE)&lt;1, INT(F13)&gt;30)), $Q$7, ""), "")</f>
        <v xml:space="preserve">  </v>
      </c>
    </row>
    <row r="14" spans="1:28" x14ac:dyDescent="0.2">
      <c r="A14" s="155"/>
      <c r="B14" s="156" t="s">
        <v>13</v>
      </c>
      <c r="C14" s="26"/>
      <c r="D14" s="27"/>
      <c r="E14" s="26"/>
      <c r="F14" s="28"/>
      <c r="G14" s="46"/>
      <c r="H14" s="29"/>
      <c r="I14" s="29"/>
      <c r="J14" s="29"/>
      <c r="K14" s="29"/>
      <c r="L14" s="176" t="str">
        <f>IFERROR('Pistol Troyer'!$J$2*(F14/D14)*(1+IF(G14="X", 0.75, 0) +IF(H14="X", 0.5, 0) + IF(I14="X", 0.25, 0) ), "")</f>
        <v/>
      </c>
      <c r="M14" s="177" t="str">
        <f>IFERROR('Pistol Troyer'!$J$2*(F14/D14)*(1+IF(G14="X", 0.75, 0) +IF(H14="X", 0.5, 0) + IF(I14="X", 0.25, 0) + IF(J14="X", 0.25, 0) + IF(K14="X", 0.25, 0)), "")</f>
        <v/>
      </c>
      <c r="N14" s="175" t="str">
        <f>_xlfn.IFNA(IF(OR(L14&gt;50, OR(OR(VLOOKUP(D14,'Selection Lists'!$A$4:$B$17, 2, FALSE)&lt;1/2, VLOOKUP(D14, 'Selection Lists'!$A$4:$B$17, 2, FALSE)&gt;2)), OR(INT(F14)&lt;10, INT(F14)&gt;35)), $Q$5, ""), "") &amp; " " &amp; _xlfn.IFNA(IF(AND(VLOOKUP(D14, 'Selection Lists'!$A$4:$B$17, 2, FALSE)&lt;1.5, INT(F14)&gt;30), $Q$6, ""), "") &amp; " " &amp; _xlfn.IFNA(IF(AND(OR(G14="X",H14="X"), OR(VLOOKUP(D14, 'Selection Lists'!$A$4:$B$17, 2, FALSE)&lt;1, INT(F14)&gt;30)), $Q$7, ""), "")</f>
        <v xml:space="preserve">  </v>
      </c>
    </row>
    <row r="15" spans="1:28" ht="13.5" thickBot="1" x14ac:dyDescent="0.25">
      <c r="A15" s="157"/>
      <c r="B15" s="158" t="s">
        <v>14</v>
      </c>
      <c r="C15" s="35"/>
      <c r="D15" s="36"/>
      <c r="E15" s="35"/>
      <c r="F15" s="37"/>
      <c r="G15" s="47"/>
      <c r="H15" s="38"/>
      <c r="I15" s="38"/>
      <c r="J15" s="38"/>
      <c r="K15" s="38"/>
      <c r="L15" s="178" t="str">
        <f>IFERROR('Pistol Troyer'!$J$2*(F15/D15)*(1+IF(G15="X", 0.75, 0) +IF(H15="X", 0.5, 0) + IF(I15="X", 0.25, 0) ), "")</f>
        <v/>
      </c>
      <c r="M15" s="179" t="str">
        <f>IFERROR('Pistol Troyer'!$J$2*(F15/D15)*(1+IF(G15="X", 0.75, 0) +IF(H15="X", 0.5, 0) + IF(I15="X", 0.25, 0) + IF(J15="X", 0.25, 0) + IF(K15="X", 0.25, 0)), "")</f>
        <v/>
      </c>
      <c r="N15" s="175" t="str">
        <f>_xlfn.IFNA(IF(OR(L15&gt;50, OR(OR(VLOOKUP(D15,'Selection Lists'!$A$4:$B$17, 2, FALSE)&lt;1/2, VLOOKUP(D15, 'Selection Lists'!$A$4:$B$17, 2, FALSE)&gt;2)), OR(INT(F15)&lt;10, INT(F15)&gt;35)), $Q$5, ""), "") &amp; " " &amp; _xlfn.IFNA(IF(AND(VLOOKUP(D15, 'Selection Lists'!$A$4:$B$17, 2, FALSE)&lt;1.5, INT(F15)&gt;30), $Q$6, ""), "") &amp; " " &amp; _xlfn.IFNA(IF(AND(OR(G15="X",H15="X"), OR(VLOOKUP(D15, 'Selection Lists'!$A$4:$B$17, 2, FALSE)&lt;1, INT(F15)&gt;30)), $Q$7, ""), "")</f>
        <v xml:space="preserve">  </v>
      </c>
    </row>
    <row r="16" spans="1:28" x14ac:dyDescent="0.2">
      <c r="A16" s="153">
        <v>5</v>
      </c>
      <c r="B16" s="154" t="s">
        <v>12</v>
      </c>
      <c r="C16" s="30"/>
      <c r="D16" s="31"/>
      <c r="E16" s="32"/>
      <c r="F16" s="33"/>
      <c r="G16" s="45"/>
      <c r="H16" s="34"/>
      <c r="I16" s="34"/>
      <c r="J16" s="34"/>
      <c r="K16" s="34"/>
      <c r="L16" s="173" t="str">
        <f>IFERROR('Pistol Troyer'!$J$2*(F16/D16)*(1+IF(G16="X", 0.75, 0) +IF(H16="X", 0.5, 0) + IF(I16="X", 0.25, 0) ), "")</f>
        <v/>
      </c>
      <c r="M16" s="174" t="str">
        <f>IFERROR('Pistol Troyer'!$J$2*(F16/D16)*(1+IF(G16="X", 0.75, 0) +IF(H16="X", 0.5, 0) + IF(I16="X", 0.25, 0) + IF(J16="X", 0.25, 0) + IF(K16="X", 0.25, 0)), "")</f>
        <v/>
      </c>
      <c r="N16" s="175" t="str">
        <f>_xlfn.IFNA(IF(OR(L16&gt;50, OR(OR(VLOOKUP(D16,'Selection Lists'!$A$4:$B$17, 2, FALSE)&lt;1/2, VLOOKUP(D16, 'Selection Lists'!$A$4:$B$17, 2, FALSE)&gt;2)), OR(INT(F16)&lt;10, INT(F16)&gt;35)), $Q$5, ""), "") &amp; " " &amp; _xlfn.IFNA(IF(AND(VLOOKUP(D16, 'Selection Lists'!$A$4:$B$17, 2, FALSE)&lt;1.5, INT(F16)&gt;30), $Q$6, ""), "") &amp; " " &amp; _xlfn.IFNA(IF(AND(OR(G16="X",H16="X"), OR(VLOOKUP(D16, 'Selection Lists'!$A$4:$B$17, 2, FALSE)&lt;1, INT(F16)&gt;30)), $Q$7, ""), "")</f>
        <v xml:space="preserve">  </v>
      </c>
    </row>
    <row r="17" spans="1:16" x14ac:dyDescent="0.2">
      <c r="A17" s="155"/>
      <c r="B17" s="156" t="s">
        <v>13</v>
      </c>
      <c r="C17" s="26"/>
      <c r="D17" s="27"/>
      <c r="E17" s="26"/>
      <c r="F17" s="28"/>
      <c r="G17" s="46"/>
      <c r="H17" s="29"/>
      <c r="I17" s="29"/>
      <c r="J17" s="29"/>
      <c r="K17" s="29"/>
      <c r="L17" s="176" t="str">
        <f>IFERROR('Pistol Troyer'!$J$2*(F17/D17)*(1+IF(G17="X", 0.75, 0) +IF(H17="X", 0.5, 0) + IF(I17="X", 0.25, 0) ), "")</f>
        <v/>
      </c>
      <c r="M17" s="177" t="str">
        <f>IFERROR('Pistol Troyer'!$J$2*(F17/D17)*(1+IF(G17="X", 0.75, 0) +IF(H17="X", 0.5, 0) + IF(I17="X", 0.25, 0) + IF(J17="X", 0.25, 0) + IF(K17="X", 0.25, 0)), "")</f>
        <v/>
      </c>
      <c r="N17" s="175" t="str">
        <f>_xlfn.IFNA(IF(OR(L17&gt;50, OR(OR(VLOOKUP(D17,'Selection Lists'!$A$4:$B$17, 2, FALSE)&lt;1/2, VLOOKUP(D17, 'Selection Lists'!$A$4:$B$17, 2, FALSE)&gt;2)), OR(INT(F17)&lt;10, INT(F17)&gt;35)), $Q$5, ""), "") &amp; " " &amp; _xlfn.IFNA(IF(AND(VLOOKUP(D17, 'Selection Lists'!$A$4:$B$17, 2, FALSE)&lt;1.5, INT(F17)&gt;30), $Q$6, ""), "") &amp; " " &amp; _xlfn.IFNA(IF(AND(OR(G17="X",H17="X"), OR(VLOOKUP(D17, 'Selection Lists'!$A$4:$B$17, 2, FALSE)&lt;1, INT(F17)&gt;30)), $Q$7, ""), "")</f>
        <v xml:space="preserve">  </v>
      </c>
    </row>
    <row r="18" spans="1:16" ht="13.5" thickBot="1" x14ac:dyDescent="0.25">
      <c r="A18" s="157"/>
      <c r="B18" s="158" t="s">
        <v>14</v>
      </c>
      <c r="C18" s="35"/>
      <c r="D18" s="36"/>
      <c r="E18" s="35"/>
      <c r="F18" s="37"/>
      <c r="G18" s="47"/>
      <c r="H18" s="38"/>
      <c r="I18" s="38"/>
      <c r="J18" s="38"/>
      <c r="K18" s="38"/>
      <c r="L18" s="178" t="str">
        <f>IFERROR('Pistol Troyer'!$J$2*(F18/D18)*(1+IF(G18="X", 0.75, 0) +IF(H18="X", 0.5, 0) + IF(I18="X", 0.25, 0) ), "")</f>
        <v/>
      </c>
      <c r="M18" s="179" t="str">
        <f>IFERROR('Pistol Troyer'!$J$2*(F18/D18)*(1+IF(G18="X", 0.75, 0) +IF(H18="X", 0.5, 0) + IF(I18="X", 0.25, 0) + IF(J18="X", 0.25, 0) + IF(K18="X", 0.25, 0)), "")</f>
        <v/>
      </c>
      <c r="N18" s="175" t="str">
        <f>_xlfn.IFNA(IF(OR(L18&gt;50, OR(OR(VLOOKUP(D18,'Selection Lists'!$A$4:$B$17, 2, FALSE)&lt;1/2, VLOOKUP(D18, 'Selection Lists'!$A$4:$B$17, 2, FALSE)&gt;2)), OR(INT(F18)&lt;10, INT(F18)&gt;35)), $Q$5, ""), "") &amp; " " &amp; _xlfn.IFNA(IF(AND(VLOOKUP(D18, 'Selection Lists'!$A$4:$B$17, 2, FALSE)&lt;1.5, INT(F18)&gt;30), $Q$6, ""), "") &amp; " " &amp; _xlfn.IFNA(IF(AND(OR(G18="X",H18="X"), OR(VLOOKUP(D18, 'Selection Lists'!$A$4:$B$17, 2, FALSE)&lt;1, INT(F18)&gt;30)), $Q$7, ""), "")</f>
        <v xml:space="preserve">  </v>
      </c>
    </row>
    <row r="19" spans="1:16" x14ac:dyDescent="0.2">
      <c r="A19" s="153">
        <v>6</v>
      </c>
      <c r="B19" s="154" t="s">
        <v>12</v>
      </c>
      <c r="C19" s="30"/>
      <c r="D19" s="31"/>
      <c r="E19" s="32"/>
      <c r="F19" s="33"/>
      <c r="G19" s="45"/>
      <c r="H19" s="34"/>
      <c r="I19" s="34"/>
      <c r="J19" s="34"/>
      <c r="K19" s="34"/>
      <c r="L19" s="173" t="str">
        <f>IFERROR('Pistol Troyer'!$J$2*(F19/D19)*(1+IF(G19="X", 0.75, 0) +IF(H19="X", 0.5, 0) + IF(I19="X", 0.25, 0) ), "")</f>
        <v/>
      </c>
      <c r="M19" s="174" t="str">
        <f>IFERROR('Pistol Troyer'!$J$2*(F19/D19)*(1+IF(G19="X", 0.75, 0) +IF(H19="X", 0.5, 0) + IF(I19="X", 0.25, 0) + IF(J19="X", 0.25, 0) + IF(K19="X", 0.25, 0)), "")</f>
        <v/>
      </c>
      <c r="N19" s="175" t="str">
        <f>_xlfn.IFNA(IF(OR(L19&gt;50, OR(OR(VLOOKUP(D19,'Selection Lists'!$A$4:$B$17, 2, FALSE)&lt;1/2, VLOOKUP(D19, 'Selection Lists'!$A$4:$B$17, 2, FALSE)&gt;2)), OR(INT(F19)&lt;10, INT(F19)&gt;35)), $Q$5, ""), "") &amp; " " &amp; _xlfn.IFNA(IF(AND(VLOOKUP(D19, 'Selection Lists'!$A$4:$B$17, 2, FALSE)&lt;1.5, INT(F19)&gt;30), $Q$6, ""), "") &amp; " " &amp; _xlfn.IFNA(IF(AND(OR(G19="X",H19="X"), OR(VLOOKUP(D19, 'Selection Lists'!$A$4:$B$17, 2, FALSE)&lt;1, INT(F19)&gt;30)), $Q$7, ""), "")</f>
        <v xml:space="preserve">  </v>
      </c>
    </row>
    <row r="20" spans="1:16" x14ac:dyDescent="0.2">
      <c r="A20" s="155"/>
      <c r="B20" s="156" t="s">
        <v>13</v>
      </c>
      <c r="C20" s="26"/>
      <c r="D20" s="27"/>
      <c r="E20" s="26"/>
      <c r="F20" s="28"/>
      <c r="G20" s="46"/>
      <c r="H20" s="29"/>
      <c r="I20" s="29"/>
      <c r="J20" s="29"/>
      <c r="K20" s="29"/>
      <c r="L20" s="176" t="str">
        <f>IFERROR('Pistol Troyer'!$J$2*(F20/D20)*(1+IF(G20="X", 0.75, 0) +IF(H20="X", 0.5, 0) + IF(I20="X", 0.25, 0) ), "")</f>
        <v/>
      </c>
      <c r="M20" s="177" t="str">
        <f>IFERROR('Pistol Troyer'!$J$2*(F20/D20)*(1+IF(G20="X", 0.75, 0) +IF(H20="X", 0.5, 0) + IF(I20="X", 0.25, 0) + IF(J20="X", 0.25, 0) + IF(K20="X", 0.25, 0)), "")</f>
        <v/>
      </c>
      <c r="N20" s="175" t="str">
        <f>_xlfn.IFNA(IF(OR(L20&gt;50, OR(OR(VLOOKUP(D20,'Selection Lists'!$A$4:$B$17, 2, FALSE)&lt;1/2, VLOOKUP(D20, 'Selection Lists'!$A$4:$B$17, 2, FALSE)&gt;2)), OR(INT(F20)&lt;10, INT(F20)&gt;35)), $Q$5, ""), "") &amp; " " &amp; _xlfn.IFNA(IF(AND(VLOOKUP(D20, 'Selection Lists'!$A$4:$B$17, 2, FALSE)&lt;1.5, INT(F20)&gt;30), $Q$6, ""), "") &amp; " " &amp; _xlfn.IFNA(IF(AND(OR(G20="X",H20="X"), OR(VLOOKUP(D20, 'Selection Lists'!$A$4:$B$17, 2, FALSE)&lt;1, INT(F20)&gt;30)), $Q$7, ""), "")</f>
        <v xml:space="preserve">  </v>
      </c>
    </row>
    <row r="21" spans="1:16" ht="13.5" thickBot="1" x14ac:dyDescent="0.25">
      <c r="A21" s="157"/>
      <c r="B21" s="158" t="s">
        <v>14</v>
      </c>
      <c r="C21" s="35"/>
      <c r="D21" s="36"/>
      <c r="E21" s="35"/>
      <c r="F21" s="37"/>
      <c r="G21" s="47"/>
      <c r="H21" s="38"/>
      <c r="I21" s="38"/>
      <c r="J21" s="38"/>
      <c r="K21" s="38"/>
      <c r="L21" s="178" t="str">
        <f>IFERROR('Pistol Troyer'!$J$2*(F21/D21)*(1+IF(G21="X", 0.75, 0) +IF(H21="X", 0.5, 0) + IF(I21="X", 0.25, 0) ), "")</f>
        <v/>
      </c>
      <c r="M21" s="179" t="str">
        <f>IFERROR('Pistol Troyer'!$J$2*(F21/D21)*(1+IF(G21="X", 0.75, 0) +IF(H21="X", 0.5, 0) + IF(I21="X", 0.25, 0) + IF(J21="X", 0.25, 0) + IF(K21="X", 0.25, 0)), "")</f>
        <v/>
      </c>
      <c r="N21" s="175" t="str">
        <f>_xlfn.IFNA(IF(OR(L21&gt;50, OR(OR(VLOOKUP(D21,'Selection Lists'!$A$4:$B$17, 2, FALSE)&lt;1/2, VLOOKUP(D21, 'Selection Lists'!$A$4:$B$17, 2, FALSE)&gt;2)), OR(INT(F21)&lt;10, INT(F21)&gt;35)), $Q$5, ""), "") &amp; " " &amp; _xlfn.IFNA(IF(AND(VLOOKUP(D21, 'Selection Lists'!$A$4:$B$17, 2, FALSE)&lt;1.5, INT(F21)&gt;30), $Q$6, ""), "") &amp; " " &amp; _xlfn.IFNA(IF(AND(OR(G21="X",H21="X"), OR(VLOOKUP(D21, 'Selection Lists'!$A$4:$B$17, 2, FALSE)&lt;1, INT(F21)&gt;30)), $Q$7, ""), "")</f>
        <v xml:space="preserve">  </v>
      </c>
      <c r="P21" s="180"/>
    </row>
    <row r="22" spans="1:16" x14ac:dyDescent="0.2">
      <c r="A22" s="153">
        <v>7</v>
      </c>
      <c r="B22" s="154" t="s">
        <v>12</v>
      </c>
      <c r="C22" s="30"/>
      <c r="D22" s="31"/>
      <c r="E22" s="32"/>
      <c r="F22" s="33"/>
      <c r="G22" s="45"/>
      <c r="H22" s="34"/>
      <c r="I22" s="34"/>
      <c r="J22" s="34"/>
      <c r="K22" s="34"/>
      <c r="L22" s="173" t="str">
        <f>IFERROR('Pistol Troyer'!$J$2*(F22/D22)*(1+IF(G22="X", 0.75, 0) +IF(H22="X", 0.5, 0) + IF(I22="X", 0.25, 0) ), "")</f>
        <v/>
      </c>
      <c r="M22" s="174" t="str">
        <f>IFERROR('Pistol Troyer'!$J$2*(F22/D22)*(1+IF(G22="X", 0.75, 0) +IF(H22="X", 0.5, 0) + IF(I22="X", 0.25, 0) + IF(J22="X", 0.25, 0) + IF(K22="X", 0.25, 0)), "")</f>
        <v/>
      </c>
      <c r="N22" s="175" t="str">
        <f>_xlfn.IFNA(IF(OR(L22&gt;50, OR(OR(VLOOKUP(D22,'Selection Lists'!$A$4:$B$17, 2, FALSE)&lt;1/2, VLOOKUP(D22, 'Selection Lists'!$A$4:$B$17, 2, FALSE)&gt;2)), OR(INT(F22)&lt;10, INT(F22)&gt;35)), $Q$5, ""), "") &amp; " " &amp; _xlfn.IFNA(IF(AND(VLOOKUP(D22, 'Selection Lists'!$A$4:$B$17, 2, FALSE)&lt;1.5, INT(F22)&gt;30), $Q$6, ""), "") &amp; " " &amp; _xlfn.IFNA(IF(AND(OR(G22="X",H22="X"), OR(VLOOKUP(D22, 'Selection Lists'!$A$4:$B$17, 2, FALSE)&lt;1, INT(F22)&gt;30)), $Q$7, ""), "")</f>
        <v xml:space="preserve">  </v>
      </c>
    </row>
    <row r="23" spans="1:16" x14ac:dyDescent="0.2">
      <c r="A23" s="155"/>
      <c r="B23" s="156" t="s">
        <v>13</v>
      </c>
      <c r="C23" s="26"/>
      <c r="D23" s="27"/>
      <c r="E23" s="26"/>
      <c r="F23" s="28"/>
      <c r="G23" s="46"/>
      <c r="H23" s="29"/>
      <c r="I23" s="29"/>
      <c r="J23" s="29"/>
      <c r="K23" s="29"/>
      <c r="L23" s="176" t="str">
        <f>IFERROR('Pistol Troyer'!$J$2*(F23/D23)*(1+IF(G23="X", 0.75, 0) +IF(H23="X", 0.5, 0) + IF(I23="X", 0.25, 0) ), "")</f>
        <v/>
      </c>
      <c r="M23" s="177" t="str">
        <f>IFERROR('Pistol Troyer'!$J$2*(F23/D23)*(1+IF(G23="X", 0.75, 0) +IF(H23="X", 0.5, 0) + IF(I23="X", 0.25, 0) + IF(J23="X", 0.25, 0) + IF(K23="X", 0.25, 0)), "")</f>
        <v/>
      </c>
      <c r="N23" s="175" t="str">
        <f>_xlfn.IFNA(IF(OR(L23&gt;50, OR(OR(VLOOKUP(D23,'Selection Lists'!$A$4:$B$17, 2, FALSE)&lt;1/2, VLOOKUP(D23, 'Selection Lists'!$A$4:$B$17, 2, FALSE)&gt;2)), OR(INT(F23)&lt;10, INT(F23)&gt;35)), $Q$5, ""), "") &amp; " " &amp; _xlfn.IFNA(IF(AND(VLOOKUP(D23, 'Selection Lists'!$A$4:$B$17, 2, FALSE)&lt;1.5, INT(F23)&gt;30), $Q$6, ""), "") &amp; " " &amp; _xlfn.IFNA(IF(AND(OR(G23="X",H23="X"), OR(VLOOKUP(D23, 'Selection Lists'!$A$4:$B$17, 2, FALSE)&lt;1, INT(F23)&gt;30)), $Q$7, ""), "")</f>
        <v xml:space="preserve">  </v>
      </c>
      <c r="O23" s="180"/>
      <c r="P23" s="180"/>
    </row>
    <row r="24" spans="1:16" ht="13.5" thickBot="1" x14ac:dyDescent="0.25">
      <c r="A24" s="157"/>
      <c r="B24" s="158" t="s">
        <v>14</v>
      </c>
      <c r="C24" s="35"/>
      <c r="D24" s="36"/>
      <c r="E24" s="35"/>
      <c r="F24" s="37"/>
      <c r="G24" s="47"/>
      <c r="H24" s="38"/>
      <c r="I24" s="38"/>
      <c r="J24" s="38"/>
      <c r="K24" s="38"/>
      <c r="L24" s="178" t="str">
        <f>IFERROR('Pistol Troyer'!$J$2*(F24/D24)*(1+IF(G24="X", 0.75, 0) +IF(H24="X", 0.5, 0) + IF(I24="X", 0.25, 0) ), "")</f>
        <v/>
      </c>
      <c r="M24" s="179" t="str">
        <f>IFERROR('Pistol Troyer'!$J$2*(F24/D24)*(1+IF(G24="X", 0.75, 0) +IF(H24="X", 0.5, 0) + IF(I24="X", 0.25, 0) + IF(J24="X", 0.25, 0) + IF(K24="X", 0.25, 0)), "")</f>
        <v/>
      </c>
      <c r="N24" s="175" t="str">
        <f>_xlfn.IFNA(IF(OR(L24&gt;50, OR(OR(VLOOKUP(D24,'Selection Lists'!$A$4:$B$17, 2, FALSE)&lt;1/2, VLOOKUP(D24, 'Selection Lists'!$A$4:$B$17, 2, FALSE)&gt;2)), OR(INT(F24)&lt;10, INT(F24)&gt;35)), $Q$5, ""), "") &amp; " " &amp; _xlfn.IFNA(IF(AND(VLOOKUP(D24, 'Selection Lists'!$A$4:$B$17, 2, FALSE)&lt;1.5, INT(F24)&gt;30), $Q$6, ""), "") &amp; " " &amp; _xlfn.IFNA(IF(AND(OR(G24="X",H24="X"), OR(VLOOKUP(D24, 'Selection Lists'!$A$4:$B$17, 2, FALSE)&lt;1, INT(F24)&gt;30)), $Q$7, ""), "")</f>
        <v xml:space="preserve">  </v>
      </c>
      <c r="P24" s="180"/>
    </row>
    <row r="25" spans="1:16" x14ac:dyDescent="0.2">
      <c r="A25" s="153">
        <v>8</v>
      </c>
      <c r="B25" s="154" t="s">
        <v>12</v>
      </c>
      <c r="C25" s="30"/>
      <c r="D25" s="31"/>
      <c r="E25" s="32"/>
      <c r="F25" s="33"/>
      <c r="G25" s="45"/>
      <c r="H25" s="34"/>
      <c r="I25" s="34"/>
      <c r="J25" s="34"/>
      <c r="K25" s="34"/>
      <c r="L25" s="173" t="str">
        <f>IFERROR('Pistol Troyer'!$J$2*(F25/D25)*(1+IF(G25="X", 0.75, 0) +IF(H25="X", 0.5, 0) + IF(I25="X", 0.25, 0) ), "")</f>
        <v/>
      </c>
      <c r="M25" s="174" t="str">
        <f>IFERROR('Pistol Troyer'!$J$2*(F25/D25)*(1+IF(G25="X", 0.75, 0) +IF(H25="X", 0.5, 0) + IF(I25="X", 0.25, 0) + IF(J25="X", 0.25, 0) + IF(K25="X", 0.25, 0)), "")</f>
        <v/>
      </c>
      <c r="N25" s="175" t="str">
        <f>_xlfn.IFNA(IF(OR(L25&gt;50, OR(OR(VLOOKUP(D25,'Selection Lists'!$A$4:$B$17, 2, FALSE)&lt;1/2, VLOOKUP(D25, 'Selection Lists'!$A$4:$B$17, 2, FALSE)&gt;2)), OR(INT(F25)&lt;10, INT(F25)&gt;35)), $Q$5, ""), "") &amp; " " &amp; _xlfn.IFNA(IF(AND(VLOOKUP(D25, 'Selection Lists'!$A$4:$B$17, 2, FALSE)&lt;1.5, INT(F25)&gt;30), $Q$6, ""), "") &amp; " " &amp; _xlfn.IFNA(IF(AND(OR(G25="X",H25="X"), OR(VLOOKUP(D25, 'Selection Lists'!$A$4:$B$17, 2, FALSE)&lt;1, INT(F25)&gt;30)), $Q$7, ""), "")</f>
        <v xml:space="preserve">  </v>
      </c>
      <c r="O25" s="180"/>
    </row>
    <row r="26" spans="1:16" x14ac:dyDescent="0.2">
      <c r="A26" s="155"/>
      <c r="B26" s="156" t="s">
        <v>13</v>
      </c>
      <c r="C26" s="26"/>
      <c r="D26" s="27"/>
      <c r="E26" s="26"/>
      <c r="F26" s="28"/>
      <c r="G26" s="46"/>
      <c r="H26" s="29"/>
      <c r="I26" s="29"/>
      <c r="J26" s="29"/>
      <c r="K26" s="29"/>
      <c r="L26" s="176" t="str">
        <f>IFERROR('Pistol Troyer'!$J$2*(F26/D26)*(1+IF(G26="X", 0.75, 0) +IF(H26="X", 0.5, 0) + IF(I26="X", 0.25, 0) ), "")</f>
        <v/>
      </c>
      <c r="M26" s="177" t="str">
        <f>IFERROR('Pistol Troyer'!$J$2*(F26/D26)*(1+IF(G26="X", 0.75, 0) +IF(H26="X", 0.5, 0) + IF(I26="X", 0.25, 0) + IF(J26="X", 0.25, 0) + IF(K26="X", 0.25, 0)), "")</f>
        <v/>
      </c>
      <c r="N26" s="175" t="str">
        <f>_xlfn.IFNA(IF(OR(L26&gt;50, OR(OR(VLOOKUP(D26,'Selection Lists'!$A$4:$B$17, 2, FALSE)&lt;1/2, VLOOKUP(D26, 'Selection Lists'!$A$4:$B$17, 2, FALSE)&gt;2)), OR(INT(F26)&lt;10, INT(F26)&gt;35)), $Q$5, ""), "") &amp; " " &amp; _xlfn.IFNA(IF(AND(VLOOKUP(D26, 'Selection Lists'!$A$4:$B$17, 2, FALSE)&lt;1.5, INT(F26)&gt;30), $Q$6, ""), "") &amp; " " &amp; _xlfn.IFNA(IF(AND(OR(G26="X",H26="X"), OR(VLOOKUP(D26, 'Selection Lists'!$A$4:$B$17, 2, FALSE)&lt;1, INT(F26)&gt;30)), $Q$7, ""), "")</f>
        <v xml:space="preserve">  </v>
      </c>
      <c r="O26" s="180"/>
      <c r="P26" s="180"/>
    </row>
    <row r="27" spans="1:16" ht="13.5" thickBot="1" x14ac:dyDescent="0.25">
      <c r="A27" s="157"/>
      <c r="B27" s="158" t="s">
        <v>14</v>
      </c>
      <c r="C27" s="35"/>
      <c r="D27" s="36"/>
      <c r="E27" s="35"/>
      <c r="F27" s="37"/>
      <c r="G27" s="47"/>
      <c r="H27" s="38"/>
      <c r="I27" s="38"/>
      <c r="J27" s="38"/>
      <c r="K27" s="38"/>
      <c r="L27" s="178" t="str">
        <f>IFERROR('Pistol Troyer'!$J$2*(F27/D27)*(1+IF(G27="X", 0.75, 0) +IF(H27="X", 0.5, 0) + IF(I27="X", 0.25, 0) ), "")</f>
        <v/>
      </c>
      <c r="M27" s="179" t="str">
        <f>IFERROR('Pistol Troyer'!$J$2*(F27/D27)*(1+IF(G27="X", 0.75, 0) +IF(H27="X", 0.5, 0) + IF(I27="X", 0.25, 0) + IF(J27="X", 0.25, 0) + IF(K27="X", 0.25, 0)), "")</f>
        <v/>
      </c>
      <c r="N27" s="175" t="str">
        <f>_xlfn.IFNA(IF(OR(L27&gt;50, OR(OR(VLOOKUP(D27,'Selection Lists'!$A$4:$B$17, 2, FALSE)&lt;1/2, VLOOKUP(D27, 'Selection Lists'!$A$4:$B$17, 2, FALSE)&gt;2)), OR(INT(F27)&lt;10, INT(F27)&gt;35)), $Q$5, ""), "") &amp; " " &amp; _xlfn.IFNA(IF(AND(VLOOKUP(D27, 'Selection Lists'!$A$4:$B$17, 2, FALSE)&lt;1.5, INT(F27)&gt;30), $Q$6, ""), "") &amp; " " &amp; _xlfn.IFNA(IF(AND(OR(G27="X",H27="X"), OR(VLOOKUP(D27, 'Selection Lists'!$A$4:$B$17, 2, FALSE)&lt;1, INT(F27)&gt;30)), $Q$7, ""), "")</f>
        <v xml:space="preserve">  </v>
      </c>
      <c r="P27" s="180"/>
    </row>
    <row r="28" spans="1:16" x14ac:dyDescent="0.2">
      <c r="A28" s="153">
        <v>9</v>
      </c>
      <c r="B28" s="154" t="s">
        <v>12</v>
      </c>
      <c r="C28" s="30"/>
      <c r="D28" s="31"/>
      <c r="E28" s="32"/>
      <c r="F28" s="33"/>
      <c r="G28" s="45"/>
      <c r="H28" s="34"/>
      <c r="I28" s="34"/>
      <c r="J28" s="34"/>
      <c r="K28" s="34"/>
      <c r="L28" s="173" t="str">
        <f>IFERROR('Pistol Troyer'!$J$2*(F28/D28)*(1+IF(G28="X", 0.75, 0) +IF(H28="X", 0.5, 0) + IF(I28="X", 0.25, 0) ), "")</f>
        <v/>
      </c>
      <c r="M28" s="174" t="str">
        <f>IFERROR('Pistol Troyer'!$J$2*(F28/D28)*(1+IF(G28="X", 0.75, 0) +IF(H28="X", 0.5, 0) + IF(I28="X", 0.25, 0) + IF(J28="X", 0.25, 0) + IF(K28="X", 0.25, 0)), "")</f>
        <v/>
      </c>
      <c r="N28" s="175" t="str">
        <f>_xlfn.IFNA(IF(OR(L28&gt;50, OR(OR(VLOOKUP(D28,'Selection Lists'!$A$4:$B$17, 2, FALSE)&lt;1/2, VLOOKUP(D28, 'Selection Lists'!$A$4:$B$17, 2, FALSE)&gt;2)), OR(INT(F28)&lt;10, INT(F28)&gt;35)), $Q$5, ""), "") &amp; " " &amp; _xlfn.IFNA(IF(AND(VLOOKUP(D28, 'Selection Lists'!$A$4:$B$17, 2, FALSE)&lt;1.5, INT(F28)&gt;30), $Q$6, ""), "") &amp; " " &amp; _xlfn.IFNA(IF(AND(OR(G28="X",H28="X"), OR(VLOOKUP(D28, 'Selection Lists'!$A$4:$B$17, 2, FALSE)&lt;1, INT(F28)&gt;30)), $Q$7, ""), "")</f>
        <v xml:space="preserve">  </v>
      </c>
      <c r="O28" s="180"/>
    </row>
    <row r="29" spans="1:16" x14ac:dyDescent="0.2">
      <c r="A29" s="155"/>
      <c r="B29" s="156" t="s">
        <v>13</v>
      </c>
      <c r="C29" s="26"/>
      <c r="D29" s="27"/>
      <c r="E29" s="26"/>
      <c r="F29" s="28"/>
      <c r="G29" s="46"/>
      <c r="H29" s="29"/>
      <c r="I29" s="29"/>
      <c r="J29" s="29"/>
      <c r="K29" s="29"/>
      <c r="L29" s="176" t="str">
        <f>IFERROR('Pistol Troyer'!$J$2*(F29/D29)*(1+IF(G29="X", 0.75, 0) +IF(H29="X", 0.5, 0) + IF(I29="X", 0.25, 0) ), "")</f>
        <v/>
      </c>
      <c r="M29" s="177" t="str">
        <f>IFERROR('Pistol Troyer'!$J$2*(F29/D29)*(1+IF(G29="X", 0.75, 0) +IF(H29="X", 0.5, 0) + IF(I29="X", 0.25, 0) + IF(J29="X", 0.25, 0) + IF(K29="X", 0.25, 0)), "")</f>
        <v/>
      </c>
      <c r="N29" s="175" t="str">
        <f>_xlfn.IFNA(IF(OR(L29&gt;50, OR(OR(VLOOKUP(D29,'Selection Lists'!$A$4:$B$17, 2, FALSE)&lt;1/2, VLOOKUP(D29, 'Selection Lists'!$A$4:$B$17, 2, FALSE)&gt;2)), OR(INT(F29)&lt;10, INT(F29)&gt;35)), $Q$5, ""), "") &amp; " " &amp; _xlfn.IFNA(IF(AND(VLOOKUP(D29, 'Selection Lists'!$A$4:$B$17, 2, FALSE)&lt;1.5, INT(F29)&gt;30), $Q$6, ""), "") &amp; " " &amp; _xlfn.IFNA(IF(AND(OR(G29="X",H29="X"), OR(VLOOKUP(D29, 'Selection Lists'!$A$4:$B$17, 2, FALSE)&lt;1, INT(F29)&gt;30)), $Q$7, ""), "")</f>
        <v xml:space="preserve">  </v>
      </c>
      <c r="O29" s="180"/>
    </row>
    <row r="30" spans="1:16" ht="13.5" thickBot="1" x14ac:dyDescent="0.25">
      <c r="A30" s="157"/>
      <c r="B30" s="158" t="s">
        <v>14</v>
      </c>
      <c r="C30" s="35"/>
      <c r="D30" s="36"/>
      <c r="E30" s="35"/>
      <c r="F30" s="37"/>
      <c r="G30" s="47"/>
      <c r="H30" s="38"/>
      <c r="I30" s="38"/>
      <c r="J30" s="38"/>
      <c r="K30" s="38"/>
      <c r="L30" s="178" t="str">
        <f>IFERROR('Pistol Troyer'!$J$2*(F30/D30)*(1+IF(G30="X", 0.75, 0) +IF(H30="X", 0.5, 0) + IF(I30="X", 0.25, 0) ), "")</f>
        <v/>
      </c>
      <c r="M30" s="179" t="str">
        <f>IFERROR('Pistol Troyer'!$J$2*(F30/D30)*(1+IF(G30="X", 0.75, 0) +IF(H30="X", 0.5, 0) + IF(I30="X", 0.25, 0) + IF(J30="X", 0.25, 0) + IF(K30="X", 0.25, 0)), "")</f>
        <v/>
      </c>
      <c r="N30" s="175" t="str">
        <f>_xlfn.IFNA(IF(OR(L30&gt;50, OR(OR(VLOOKUP(D30,'Selection Lists'!$A$4:$B$17, 2, FALSE)&lt;1/2, VLOOKUP(D30, 'Selection Lists'!$A$4:$B$17, 2, FALSE)&gt;2)), OR(INT(F30)&lt;10, INT(F30)&gt;35)), $Q$5, ""), "") &amp; " " &amp; _xlfn.IFNA(IF(AND(VLOOKUP(D30, 'Selection Lists'!$A$4:$B$17, 2, FALSE)&lt;1.5, INT(F30)&gt;30), $Q$6, ""), "") &amp; " " &amp; _xlfn.IFNA(IF(AND(OR(G30="X",H30="X"), OR(VLOOKUP(D30, 'Selection Lists'!$A$4:$B$17, 2, FALSE)&lt;1, INT(F30)&gt;30)), $Q$7, ""), "")</f>
        <v xml:space="preserve">  </v>
      </c>
    </row>
    <row r="31" spans="1:16" x14ac:dyDescent="0.2">
      <c r="A31" s="153">
        <v>10</v>
      </c>
      <c r="B31" s="154" t="s">
        <v>12</v>
      </c>
      <c r="C31" s="30"/>
      <c r="D31" s="31"/>
      <c r="E31" s="32"/>
      <c r="F31" s="33"/>
      <c r="G31" s="45"/>
      <c r="H31" s="34"/>
      <c r="I31" s="34"/>
      <c r="J31" s="34"/>
      <c r="K31" s="34"/>
      <c r="L31" s="173" t="str">
        <f>IFERROR('Pistol Troyer'!$J$2*(F31/D31)*(1+IF(G31="X", 0.75, 0) +IF(H31="X", 0.5, 0) + IF(I31="X", 0.25, 0) ), "")</f>
        <v/>
      </c>
      <c r="M31" s="174" t="str">
        <f>IFERROR('Pistol Troyer'!$J$2*(F31/D31)*(1+IF(G31="X", 0.75, 0) +IF(H31="X", 0.5, 0) + IF(I31="X", 0.25, 0) + IF(J31="X", 0.25, 0) + IF(K31="X", 0.25, 0)), "")</f>
        <v/>
      </c>
      <c r="N31" s="175" t="str">
        <f>_xlfn.IFNA(IF(OR(L31&gt;50, OR(OR(VLOOKUP(D31,'Selection Lists'!$A$4:$B$17, 2, FALSE)&lt;1/2, VLOOKUP(D31, 'Selection Lists'!$A$4:$B$17, 2, FALSE)&gt;2)), OR(INT(F31)&lt;10, INT(F31)&gt;35)), $Q$5, ""), "") &amp; " " &amp; _xlfn.IFNA(IF(AND(VLOOKUP(D31, 'Selection Lists'!$A$4:$B$17, 2, FALSE)&lt;1.5, INT(F31)&gt;30), $Q$6, ""), "") &amp; " " &amp; _xlfn.IFNA(IF(AND(OR(G31="X",H31="X"), OR(VLOOKUP(D31, 'Selection Lists'!$A$4:$B$17, 2, FALSE)&lt;1, INT(F31)&gt;30)), $Q$7, ""), "")</f>
        <v xml:space="preserve">  </v>
      </c>
    </row>
    <row r="32" spans="1:16" x14ac:dyDescent="0.2">
      <c r="A32" s="155"/>
      <c r="B32" s="156" t="s">
        <v>13</v>
      </c>
      <c r="C32" s="26"/>
      <c r="D32" s="27"/>
      <c r="E32" s="26"/>
      <c r="F32" s="28"/>
      <c r="G32" s="46"/>
      <c r="H32" s="29"/>
      <c r="I32" s="29"/>
      <c r="J32" s="29"/>
      <c r="K32" s="29"/>
      <c r="L32" s="176" t="str">
        <f>IFERROR('Pistol Troyer'!$J$2*(F32/D32)*(1+IF(G32="X", 0.75, 0) +IF(H32="X", 0.5, 0) + IF(I32="X", 0.25, 0) ), "")</f>
        <v/>
      </c>
      <c r="M32" s="177" t="str">
        <f>IFERROR('Pistol Troyer'!$J$2*(F32/D32)*(1+IF(G32="X", 0.75, 0) +IF(H32="X", 0.5, 0) + IF(I32="X", 0.25, 0) + IF(J32="X", 0.25, 0) + IF(K32="X", 0.25, 0)), "")</f>
        <v/>
      </c>
      <c r="N32" s="175" t="str">
        <f>_xlfn.IFNA(IF(OR(L32&gt;50, OR(OR(VLOOKUP(D32,'Selection Lists'!$A$4:$B$17, 2, FALSE)&lt;1/2, VLOOKUP(D32, 'Selection Lists'!$A$4:$B$17, 2, FALSE)&gt;2)), OR(INT(F32)&lt;10, INT(F32)&gt;35)), $Q$5, ""), "") &amp; " " &amp; _xlfn.IFNA(IF(AND(VLOOKUP(D32, 'Selection Lists'!$A$4:$B$17, 2, FALSE)&lt;1.5, INT(F32)&gt;30), $Q$6, ""), "") &amp; " " &amp; _xlfn.IFNA(IF(AND(OR(G32="X",H32="X"), OR(VLOOKUP(D32, 'Selection Lists'!$A$4:$B$17, 2, FALSE)&lt;1, INT(F32)&gt;30)), $Q$7, ""), "")</f>
        <v xml:space="preserve">  </v>
      </c>
    </row>
    <row r="33" spans="1:14" ht="13.5" thickBot="1" x14ac:dyDescent="0.25">
      <c r="A33" s="157"/>
      <c r="B33" s="158" t="s">
        <v>14</v>
      </c>
      <c r="C33" s="35"/>
      <c r="D33" s="36"/>
      <c r="E33" s="35"/>
      <c r="F33" s="37"/>
      <c r="G33" s="47"/>
      <c r="H33" s="38"/>
      <c r="I33" s="38"/>
      <c r="J33" s="38"/>
      <c r="K33" s="38"/>
      <c r="L33" s="178" t="str">
        <f>IFERROR('Pistol Troyer'!$J$2*(F33/D33)*(1+IF(G33="X", 0.75, 0) +IF(H33="X", 0.5, 0) + IF(I33="X", 0.25, 0) ), "")</f>
        <v/>
      </c>
      <c r="M33" s="179" t="str">
        <f>IFERROR('Pistol Troyer'!$J$2*(F33/D33)*(1+IF(G33="X", 0.75, 0) +IF(H33="X", 0.5, 0) + IF(I33="X", 0.25, 0) + IF(J33="X", 0.25, 0) + IF(K33="X", 0.25, 0)), "")</f>
        <v/>
      </c>
      <c r="N33" s="175" t="str">
        <f>_xlfn.IFNA(IF(OR(L33&gt;50, OR(OR(VLOOKUP(D33,'Selection Lists'!$A$4:$B$17, 2, FALSE)&lt;1/2, VLOOKUP(D33, 'Selection Lists'!$A$4:$B$17, 2, FALSE)&gt;2)), OR(INT(F33)&lt;10, INT(F33)&gt;35)), $Q$5, ""), "") &amp; " " &amp; _xlfn.IFNA(IF(AND(VLOOKUP(D33, 'Selection Lists'!$A$4:$B$17, 2, FALSE)&lt;1.5, INT(F33)&gt;30), $Q$6, ""), "") &amp; " " &amp; _xlfn.IFNA(IF(AND(OR(G33="X",H33="X"), OR(VLOOKUP(D33, 'Selection Lists'!$A$4:$B$17, 2, FALSE)&lt;1, INT(F33)&gt;30)), $Q$7, ""), "")</f>
        <v xml:space="preserve">  </v>
      </c>
    </row>
    <row r="34" spans="1:14" x14ac:dyDescent="0.2">
      <c r="A34" s="153">
        <v>11</v>
      </c>
      <c r="B34" s="154" t="s">
        <v>12</v>
      </c>
      <c r="C34" s="30"/>
      <c r="D34" s="31"/>
      <c r="E34" s="32"/>
      <c r="F34" s="33"/>
      <c r="G34" s="45"/>
      <c r="H34" s="34"/>
      <c r="I34" s="34"/>
      <c r="J34" s="34"/>
      <c r="K34" s="34"/>
      <c r="L34" s="173" t="str">
        <f>IFERROR('Pistol Troyer'!$J$2*(F34/D34)*(1+IF(G34="X", 0.75, 0) +IF(H34="X", 0.5, 0) + IF(I34="X", 0.25, 0) ), "")</f>
        <v/>
      </c>
      <c r="M34" s="174" t="str">
        <f>IFERROR('Pistol Troyer'!$J$2*(F34/D34)*(1+IF(G34="X", 0.75, 0) +IF(H34="X", 0.5, 0) + IF(I34="X", 0.25, 0) + IF(J34="X", 0.25, 0) + IF(K34="X", 0.25, 0)), "")</f>
        <v/>
      </c>
      <c r="N34" s="175" t="str">
        <f>_xlfn.IFNA(IF(OR(L34&gt;50, OR(OR(VLOOKUP(D34,'Selection Lists'!$A$4:$B$17, 2, FALSE)&lt;1/2, VLOOKUP(D34, 'Selection Lists'!$A$4:$B$17, 2, FALSE)&gt;2)), OR(INT(F34)&lt;10, INT(F34)&gt;35)), $Q$5, ""), "") &amp; " " &amp; _xlfn.IFNA(IF(AND(VLOOKUP(D34, 'Selection Lists'!$A$4:$B$17, 2, FALSE)&lt;1.5, INT(F34)&gt;30), $Q$6, ""), "") &amp; " " &amp; _xlfn.IFNA(IF(AND(OR(G34="X",H34="X"), OR(VLOOKUP(D34, 'Selection Lists'!$A$4:$B$17, 2, FALSE)&lt;1, INT(F34)&gt;30)), $Q$7, ""), "")</f>
        <v xml:space="preserve">  </v>
      </c>
    </row>
    <row r="35" spans="1:14" x14ac:dyDescent="0.2">
      <c r="A35" s="155"/>
      <c r="B35" s="156" t="s">
        <v>13</v>
      </c>
      <c r="C35" s="26"/>
      <c r="D35" s="27"/>
      <c r="E35" s="26"/>
      <c r="F35" s="28"/>
      <c r="G35" s="46"/>
      <c r="H35" s="29"/>
      <c r="I35" s="29"/>
      <c r="J35" s="29"/>
      <c r="K35" s="29"/>
      <c r="L35" s="176" t="str">
        <f>IFERROR('Pistol Troyer'!$J$2*(F35/D35)*(1+IF(G35="X", 0.75, 0) +IF(H35="X", 0.5, 0) + IF(I35="X", 0.25, 0) ), "")</f>
        <v/>
      </c>
      <c r="M35" s="177" t="str">
        <f>IFERROR('Pistol Troyer'!$J$2*(F35/D35)*(1+IF(G35="X", 0.75, 0) +IF(H35="X", 0.5, 0) + IF(I35="X", 0.25, 0) + IF(J35="X", 0.25, 0) + IF(K35="X", 0.25, 0)), "")</f>
        <v/>
      </c>
      <c r="N35" s="175" t="str">
        <f>_xlfn.IFNA(IF(OR(L35&gt;50, OR(OR(VLOOKUP(D35,'Selection Lists'!$A$4:$B$17, 2, FALSE)&lt;1/2, VLOOKUP(D35, 'Selection Lists'!$A$4:$B$17, 2, FALSE)&gt;2)), OR(INT(F35)&lt;10, INT(F35)&gt;35)), $Q$5, ""), "") &amp; " " &amp; _xlfn.IFNA(IF(AND(VLOOKUP(D35, 'Selection Lists'!$A$4:$B$17, 2, FALSE)&lt;1.5, INT(F35)&gt;30), $Q$6, ""), "") &amp; " " &amp; _xlfn.IFNA(IF(AND(OR(G35="X",H35="X"), OR(VLOOKUP(D35, 'Selection Lists'!$A$4:$B$17, 2, FALSE)&lt;1, INT(F35)&gt;30)), $Q$7, ""), "")</f>
        <v xml:space="preserve">  </v>
      </c>
    </row>
    <row r="36" spans="1:14" ht="13.5" thickBot="1" x14ac:dyDescent="0.25">
      <c r="A36" s="157"/>
      <c r="B36" s="158" t="s">
        <v>14</v>
      </c>
      <c r="C36" s="35"/>
      <c r="D36" s="36"/>
      <c r="E36" s="35"/>
      <c r="F36" s="37"/>
      <c r="G36" s="47"/>
      <c r="H36" s="38"/>
      <c r="I36" s="38"/>
      <c r="J36" s="38"/>
      <c r="K36" s="38"/>
      <c r="L36" s="178" t="str">
        <f>IFERROR('Pistol Troyer'!$J$2*(F36/D36)*(1+IF(G36="X", 0.75, 0) +IF(H36="X", 0.5, 0) + IF(I36="X", 0.25, 0) ), "")</f>
        <v/>
      </c>
      <c r="M36" s="179" t="str">
        <f>IFERROR('Pistol Troyer'!$J$2*(F36/D36)*(1+IF(G36="X", 0.75, 0) +IF(H36="X", 0.5, 0) + IF(I36="X", 0.25, 0) + IF(J36="X", 0.25, 0) + IF(K36="X", 0.25, 0)), "")</f>
        <v/>
      </c>
      <c r="N36" s="175" t="str">
        <f>_xlfn.IFNA(IF(OR(L36&gt;50, OR(OR(VLOOKUP(D36,'Selection Lists'!$A$4:$B$17, 2, FALSE)&lt;1/2, VLOOKUP(D36, 'Selection Lists'!$A$4:$B$17, 2, FALSE)&gt;2)), OR(INT(F36)&lt;10, INT(F36)&gt;35)), $Q$5, ""), "") &amp; " " &amp; _xlfn.IFNA(IF(AND(VLOOKUP(D36, 'Selection Lists'!$A$4:$B$17, 2, FALSE)&lt;1.5, INT(F36)&gt;30), $Q$6, ""), "") &amp; " " &amp; _xlfn.IFNA(IF(AND(OR(G36="X",H36="X"), OR(VLOOKUP(D36, 'Selection Lists'!$A$4:$B$17, 2, FALSE)&lt;1, INT(F36)&gt;30)), $Q$7, ""), "")</f>
        <v xml:space="preserve">  </v>
      </c>
    </row>
    <row r="37" spans="1:14" x14ac:dyDescent="0.2">
      <c r="A37" s="153">
        <v>12</v>
      </c>
      <c r="B37" s="154" t="s">
        <v>12</v>
      </c>
      <c r="C37" s="30"/>
      <c r="D37" s="31"/>
      <c r="E37" s="32"/>
      <c r="F37" s="33"/>
      <c r="G37" s="45"/>
      <c r="H37" s="34"/>
      <c r="I37" s="34"/>
      <c r="J37" s="34"/>
      <c r="K37" s="34"/>
      <c r="L37" s="173" t="str">
        <f>IFERROR('Pistol Troyer'!$J$2*(F37/D37)*(1+IF(G37="X", 0.75, 0) +IF(H37="X", 0.5, 0) + IF(I37="X", 0.25, 0) ), "")</f>
        <v/>
      </c>
      <c r="M37" s="174" t="str">
        <f>IFERROR('Pistol Troyer'!$J$2*(F37/D37)*(1+IF(G37="X", 0.75, 0) +IF(H37="X", 0.5, 0) + IF(I37="X", 0.25, 0) + IF(J37="X", 0.25, 0) + IF(K37="X", 0.25, 0)), "")</f>
        <v/>
      </c>
      <c r="N37" s="175" t="str">
        <f>_xlfn.IFNA(IF(OR(L37&gt;50, OR(OR(VLOOKUP(D37,'Selection Lists'!$A$4:$B$17, 2, FALSE)&lt;1/2, VLOOKUP(D37, 'Selection Lists'!$A$4:$B$17, 2, FALSE)&gt;2)), OR(INT(F37)&lt;10, INT(F37)&gt;35)), $Q$5, ""), "") &amp; " " &amp; _xlfn.IFNA(IF(AND(VLOOKUP(D37, 'Selection Lists'!$A$4:$B$17, 2, FALSE)&lt;1.5, INT(F37)&gt;30), $Q$6, ""), "") &amp; " " &amp; _xlfn.IFNA(IF(AND(OR(G37="X",H37="X"), OR(VLOOKUP(D37, 'Selection Lists'!$A$4:$B$17, 2, FALSE)&lt;1, INT(F37)&gt;30)), $Q$7, ""), "")</f>
        <v xml:space="preserve">  </v>
      </c>
    </row>
    <row r="38" spans="1:14" x14ac:dyDescent="0.2">
      <c r="A38" s="155"/>
      <c r="B38" s="156" t="s">
        <v>13</v>
      </c>
      <c r="C38" s="26"/>
      <c r="D38" s="27"/>
      <c r="E38" s="26"/>
      <c r="F38" s="28"/>
      <c r="G38" s="46"/>
      <c r="H38" s="29"/>
      <c r="I38" s="29"/>
      <c r="J38" s="29"/>
      <c r="K38" s="29"/>
      <c r="L38" s="176" t="str">
        <f>IFERROR('Pistol Troyer'!$J$2*(F38/D38)*(1+IF(G38="X", 0.75, 0) +IF(H38="X", 0.5, 0) + IF(I38="X", 0.25, 0) ), "")</f>
        <v/>
      </c>
      <c r="M38" s="177" t="str">
        <f>IFERROR('Pistol Troyer'!$J$2*(F38/D38)*(1+IF(G38="X", 0.75, 0) +IF(H38="X", 0.5, 0) + IF(I38="X", 0.25, 0) + IF(J38="X", 0.25, 0) + IF(K38="X", 0.25, 0)), "")</f>
        <v/>
      </c>
      <c r="N38" s="175" t="str">
        <f>_xlfn.IFNA(IF(OR(L38&gt;50, OR(OR(VLOOKUP(D38,'Selection Lists'!$A$4:$B$17, 2, FALSE)&lt;1/2, VLOOKUP(D38, 'Selection Lists'!$A$4:$B$17, 2, FALSE)&gt;2)), OR(INT(F38)&lt;10, INT(F38)&gt;35)), $Q$5, ""), "") &amp; " " &amp; _xlfn.IFNA(IF(AND(VLOOKUP(D38, 'Selection Lists'!$A$4:$B$17, 2, FALSE)&lt;1.5, INT(F38)&gt;30), $Q$6, ""), "") &amp; " " &amp; _xlfn.IFNA(IF(AND(OR(G38="X",H38="X"), OR(VLOOKUP(D38, 'Selection Lists'!$A$4:$B$17, 2, FALSE)&lt;1, INT(F38)&gt;30)), $Q$7, ""), "")</f>
        <v xml:space="preserve">  </v>
      </c>
    </row>
    <row r="39" spans="1:14" ht="13.5" thickBot="1" x14ac:dyDescent="0.25">
      <c r="A39" s="157"/>
      <c r="B39" s="158" t="s">
        <v>14</v>
      </c>
      <c r="C39" s="35"/>
      <c r="D39" s="36"/>
      <c r="E39" s="35"/>
      <c r="F39" s="37"/>
      <c r="G39" s="47"/>
      <c r="H39" s="38"/>
      <c r="I39" s="38"/>
      <c r="J39" s="38"/>
      <c r="K39" s="38"/>
      <c r="L39" s="178" t="str">
        <f>IFERROR('Pistol Troyer'!$J$2*(F39/D39)*(1+IF(G39="X", 0.75, 0) +IF(H39="X", 0.5, 0) + IF(I39="X", 0.25, 0) ), "")</f>
        <v/>
      </c>
      <c r="M39" s="179" t="str">
        <f>IFERROR('Pistol Troyer'!$J$2*(F39/D39)*(1+IF(G39="X", 0.75, 0) +IF(H39="X", 0.5, 0) + IF(I39="X", 0.25, 0) + IF(J39="X", 0.25, 0) + IF(K39="X", 0.25, 0)), "")</f>
        <v/>
      </c>
      <c r="N39" s="175" t="str">
        <f>_xlfn.IFNA(IF(OR(L39&gt;50, OR(OR(VLOOKUP(D39,'Selection Lists'!$A$4:$B$17, 2, FALSE)&lt;1/2, VLOOKUP(D39, 'Selection Lists'!$A$4:$B$17, 2, FALSE)&gt;2)), OR(INT(F39)&lt;10, INT(F39)&gt;35)), $Q$5, ""), "") &amp; " " &amp; _xlfn.IFNA(IF(AND(VLOOKUP(D39, 'Selection Lists'!$A$4:$B$17, 2, FALSE)&lt;1.5, INT(F39)&gt;30), $Q$6, ""), "") &amp; " " &amp; _xlfn.IFNA(IF(AND(OR(G39="X",H39="X"), OR(VLOOKUP(D39, 'Selection Lists'!$A$4:$B$17, 2, FALSE)&lt;1, INT(F39)&gt;30)), $Q$7, ""), "")</f>
        <v xml:space="preserve">  </v>
      </c>
    </row>
    <row r="40" spans="1:14" x14ac:dyDescent="0.2">
      <c r="A40" s="153">
        <v>13</v>
      </c>
      <c r="B40" s="154" t="s">
        <v>12</v>
      </c>
      <c r="C40" s="30"/>
      <c r="D40" s="31"/>
      <c r="E40" s="32"/>
      <c r="F40" s="33"/>
      <c r="G40" s="45"/>
      <c r="H40" s="34"/>
      <c r="I40" s="34"/>
      <c r="J40" s="34"/>
      <c r="K40" s="34"/>
      <c r="L40" s="173" t="str">
        <f>IFERROR('Pistol Troyer'!$J$2*(F40/D40)*(1+IF(G40="X", 0.75, 0) +IF(H40="X", 0.5, 0) + IF(I40="X", 0.25, 0) ), "")</f>
        <v/>
      </c>
      <c r="M40" s="174" t="str">
        <f>IFERROR('Pistol Troyer'!$J$2*(F40/D40)*(1+IF(G40="X", 0.75, 0) +IF(H40="X", 0.5, 0) + IF(I40="X", 0.25, 0) + IF(J40="X", 0.25, 0) + IF(K40="X", 0.25, 0)), "")</f>
        <v/>
      </c>
      <c r="N40" s="175" t="str">
        <f>_xlfn.IFNA(IF(OR(L40&gt;50, OR(OR(VLOOKUP(D40,'Selection Lists'!$A$4:$B$17, 2, FALSE)&lt;1/2, VLOOKUP(D40, 'Selection Lists'!$A$4:$B$17, 2, FALSE)&gt;2)), OR(INT(F40)&lt;10, INT(F40)&gt;35)), $Q$5, ""), "") &amp; " " &amp; _xlfn.IFNA(IF(AND(VLOOKUP(D40, 'Selection Lists'!$A$4:$B$17, 2, FALSE)&lt;1.5, INT(F40)&gt;30), $Q$6, ""), "") &amp; " " &amp; _xlfn.IFNA(IF(AND(OR(G40="X",H40="X"), OR(VLOOKUP(D40, 'Selection Lists'!$A$4:$B$17, 2, FALSE)&lt;1, INT(F40)&gt;30)), $Q$7, ""), "")</f>
        <v xml:space="preserve">  </v>
      </c>
    </row>
    <row r="41" spans="1:14" x14ac:dyDescent="0.2">
      <c r="A41" s="155"/>
      <c r="B41" s="156" t="s">
        <v>13</v>
      </c>
      <c r="C41" s="26"/>
      <c r="D41" s="27"/>
      <c r="E41" s="26"/>
      <c r="F41" s="28"/>
      <c r="G41" s="46"/>
      <c r="H41" s="29"/>
      <c r="I41" s="29"/>
      <c r="J41" s="29"/>
      <c r="K41" s="29"/>
      <c r="L41" s="176" t="str">
        <f>IFERROR('Pistol Troyer'!$J$2*(F41/D41)*(1+IF(G41="X", 0.75, 0) +IF(H41="X", 0.5, 0) + IF(I41="X", 0.25, 0) ), "")</f>
        <v/>
      </c>
      <c r="M41" s="177" t="str">
        <f>IFERROR('Pistol Troyer'!$J$2*(F41/D41)*(1+IF(G41="X", 0.75, 0) +IF(H41="X", 0.5, 0) + IF(I41="X", 0.25, 0) + IF(J41="X", 0.25, 0) + IF(K41="X", 0.25, 0)), "")</f>
        <v/>
      </c>
      <c r="N41" s="175" t="str">
        <f>_xlfn.IFNA(IF(OR(L41&gt;50, OR(OR(VLOOKUP(D41,'Selection Lists'!$A$4:$B$17, 2, FALSE)&lt;1/2, VLOOKUP(D41, 'Selection Lists'!$A$4:$B$17, 2, FALSE)&gt;2)), OR(INT(F41)&lt;10, INT(F41)&gt;35)), $Q$5, ""), "") &amp; " " &amp; _xlfn.IFNA(IF(AND(VLOOKUP(D41, 'Selection Lists'!$A$4:$B$17, 2, FALSE)&lt;1.5, INT(F41)&gt;30), $Q$6, ""), "") &amp; " " &amp; _xlfn.IFNA(IF(AND(OR(G41="X",H41="X"), OR(VLOOKUP(D41, 'Selection Lists'!$A$4:$B$17, 2, FALSE)&lt;1, INT(F41)&gt;30)), $Q$7, ""), "")</f>
        <v xml:space="preserve">  </v>
      </c>
    </row>
    <row r="42" spans="1:14" ht="13.5" thickBot="1" x14ac:dyDescent="0.25">
      <c r="A42" s="157"/>
      <c r="B42" s="158" t="s">
        <v>14</v>
      </c>
      <c r="C42" s="35"/>
      <c r="D42" s="36"/>
      <c r="E42" s="35"/>
      <c r="F42" s="37"/>
      <c r="G42" s="47"/>
      <c r="H42" s="38"/>
      <c r="I42" s="38"/>
      <c r="J42" s="38"/>
      <c r="K42" s="38"/>
      <c r="L42" s="178" t="str">
        <f>IFERROR('Pistol Troyer'!$J$2*(F42/D42)*(1+IF(G42="X", 0.75, 0) +IF(H42="X", 0.5, 0) + IF(I42="X", 0.25, 0) ), "")</f>
        <v/>
      </c>
      <c r="M42" s="179" t="str">
        <f>IFERROR('Pistol Troyer'!$J$2*(F42/D42)*(1+IF(G42="X", 0.75, 0) +IF(H42="X", 0.5, 0) + IF(I42="X", 0.25, 0) + IF(J42="X", 0.25, 0) + IF(K42="X", 0.25, 0)), "")</f>
        <v/>
      </c>
      <c r="N42" s="175" t="str">
        <f>_xlfn.IFNA(IF(OR(L42&gt;50, OR(OR(VLOOKUP(D42,'Selection Lists'!$A$4:$B$17, 2, FALSE)&lt;1/2, VLOOKUP(D42, 'Selection Lists'!$A$4:$B$17, 2, FALSE)&gt;2)), OR(INT(F42)&lt;10, INT(F42)&gt;35)), $Q$5, ""), "") &amp; " " &amp; _xlfn.IFNA(IF(AND(VLOOKUP(D42, 'Selection Lists'!$A$4:$B$17, 2, FALSE)&lt;1.5, INT(F42)&gt;30), $Q$6, ""), "") &amp; " " &amp; _xlfn.IFNA(IF(AND(OR(G42="X",H42="X"), OR(VLOOKUP(D42, 'Selection Lists'!$A$4:$B$17, 2, FALSE)&lt;1, INT(F42)&gt;30)), $Q$7, ""), "")</f>
        <v xml:space="preserve">  </v>
      </c>
    </row>
    <row r="43" spans="1:14" x14ac:dyDescent="0.2">
      <c r="A43" s="153">
        <v>14</v>
      </c>
      <c r="B43" s="154" t="s">
        <v>12</v>
      </c>
      <c r="C43" s="30"/>
      <c r="D43" s="31"/>
      <c r="E43" s="32"/>
      <c r="F43" s="33"/>
      <c r="G43" s="45"/>
      <c r="H43" s="34"/>
      <c r="I43" s="34"/>
      <c r="J43" s="34"/>
      <c r="K43" s="34"/>
      <c r="L43" s="173" t="str">
        <f>IFERROR('Pistol Troyer'!$J$2*(F43/D43)*(1+IF(G43="X", 0.75, 0) +IF(H43="X", 0.5, 0) + IF(I43="X", 0.25, 0) ), "")</f>
        <v/>
      </c>
      <c r="M43" s="174" t="str">
        <f>IFERROR('Pistol Troyer'!$J$2*(F43/D43)*(1+IF(G43="X", 0.75, 0) +IF(H43="X", 0.5, 0) + IF(I43="X", 0.25, 0) + IF(J43="X", 0.25, 0) + IF(K43="X", 0.25, 0)), "")</f>
        <v/>
      </c>
      <c r="N43" s="175" t="str">
        <f>_xlfn.IFNA(IF(OR(L43&gt;50, OR(OR(VLOOKUP(D43,'Selection Lists'!$A$4:$B$17, 2, FALSE)&lt;1/2, VLOOKUP(D43, 'Selection Lists'!$A$4:$B$17, 2, FALSE)&gt;2)), OR(INT(F43)&lt;10, INT(F43)&gt;35)), $Q$5, ""), "") &amp; " " &amp; _xlfn.IFNA(IF(AND(VLOOKUP(D43, 'Selection Lists'!$A$4:$B$17, 2, FALSE)&lt;1.5, INT(F43)&gt;30), $Q$6, ""), "") &amp; " " &amp; _xlfn.IFNA(IF(AND(OR(G43="X",H43="X"), OR(VLOOKUP(D43, 'Selection Lists'!$A$4:$B$17, 2, FALSE)&lt;1, INT(F43)&gt;30)), $Q$7, ""), "")</f>
        <v xml:space="preserve">  </v>
      </c>
    </row>
    <row r="44" spans="1:14" x14ac:dyDescent="0.2">
      <c r="A44" s="155"/>
      <c r="B44" s="156" t="s">
        <v>13</v>
      </c>
      <c r="C44" s="26"/>
      <c r="D44" s="27"/>
      <c r="E44" s="26"/>
      <c r="F44" s="28"/>
      <c r="G44" s="46"/>
      <c r="H44" s="29"/>
      <c r="I44" s="29"/>
      <c r="J44" s="29"/>
      <c r="K44" s="29"/>
      <c r="L44" s="176" t="str">
        <f>IFERROR('Pistol Troyer'!$J$2*(F44/D44)*(1+IF(G44="X", 0.75, 0) +IF(H44="X", 0.5, 0) + IF(I44="X", 0.25, 0) ), "")</f>
        <v/>
      </c>
      <c r="M44" s="177" t="str">
        <f>IFERROR('Pistol Troyer'!$J$2*(F44/D44)*(1+IF(G44="X", 0.75, 0) +IF(H44="X", 0.5, 0) + IF(I44="X", 0.25, 0) + IF(J44="X", 0.25, 0) + IF(K44="X", 0.25, 0)), "")</f>
        <v/>
      </c>
      <c r="N44" s="175" t="str">
        <f>_xlfn.IFNA(IF(OR(L44&gt;50, OR(OR(VLOOKUP(D44,'Selection Lists'!$A$4:$B$17, 2, FALSE)&lt;1/2, VLOOKUP(D44, 'Selection Lists'!$A$4:$B$17, 2, FALSE)&gt;2)), OR(INT(F44)&lt;10, INT(F44)&gt;35)), $Q$5, ""), "") &amp; " " &amp; _xlfn.IFNA(IF(AND(VLOOKUP(D44, 'Selection Lists'!$A$4:$B$17, 2, FALSE)&lt;1.5, INT(F44)&gt;30), $Q$6, ""), "") &amp; " " &amp; _xlfn.IFNA(IF(AND(OR(G44="X",H44="X"), OR(VLOOKUP(D44, 'Selection Lists'!$A$4:$B$17, 2, FALSE)&lt;1, INT(F44)&gt;30)), $Q$7, ""), "")</f>
        <v xml:space="preserve">  </v>
      </c>
    </row>
    <row r="45" spans="1:14" ht="13.5" thickBot="1" x14ac:dyDescent="0.25">
      <c r="A45" s="157"/>
      <c r="B45" s="158" t="s">
        <v>14</v>
      </c>
      <c r="C45" s="35"/>
      <c r="D45" s="36"/>
      <c r="E45" s="35"/>
      <c r="F45" s="37"/>
      <c r="G45" s="47"/>
      <c r="H45" s="38"/>
      <c r="I45" s="38"/>
      <c r="J45" s="38"/>
      <c r="K45" s="38"/>
      <c r="L45" s="178" t="str">
        <f>IFERROR('Pistol Troyer'!$J$2*(F45/D45)*(1+IF(G45="X", 0.75, 0) +IF(H45="X", 0.5, 0) + IF(I45="X", 0.25, 0) ), "")</f>
        <v/>
      </c>
      <c r="M45" s="179" t="str">
        <f>IFERROR('Pistol Troyer'!$J$2*(F45/D45)*(1+IF(G45="X", 0.75, 0) +IF(H45="X", 0.5, 0) + IF(I45="X", 0.25, 0) + IF(J45="X", 0.25, 0) + IF(K45="X", 0.25, 0)), "")</f>
        <v/>
      </c>
      <c r="N45" s="175" t="str">
        <f>_xlfn.IFNA(IF(OR(L45&gt;50, OR(OR(VLOOKUP(D45,'Selection Lists'!$A$4:$B$17, 2, FALSE)&lt;1/2, VLOOKUP(D45, 'Selection Lists'!$A$4:$B$17, 2, FALSE)&gt;2)), OR(INT(F45)&lt;10, INT(F45)&gt;35)), $Q$5, ""), "") &amp; " " &amp; _xlfn.IFNA(IF(AND(VLOOKUP(D45, 'Selection Lists'!$A$4:$B$17, 2, FALSE)&lt;1.5, INT(F45)&gt;30), $Q$6, ""), "") &amp; " " &amp; _xlfn.IFNA(IF(AND(OR(G45="X",H45="X"), OR(VLOOKUP(D45, 'Selection Lists'!$A$4:$B$17, 2, FALSE)&lt;1, INT(F45)&gt;30)), $Q$7, ""), "")</f>
        <v xml:space="preserve">  </v>
      </c>
    </row>
    <row r="46" spans="1:14" x14ac:dyDescent="0.2">
      <c r="A46" s="181">
        <v>15</v>
      </c>
      <c r="B46" s="154" t="s">
        <v>12</v>
      </c>
      <c r="C46" s="30"/>
      <c r="D46" s="31"/>
      <c r="E46" s="32"/>
      <c r="F46" s="33"/>
      <c r="G46" s="45"/>
      <c r="H46" s="34"/>
      <c r="I46" s="34"/>
      <c r="J46" s="34"/>
      <c r="K46" s="34"/>
      <c r="L46" s="173" t="str">
        <f>IFERROR('Pistol Troyer'!$J$2*(F46/D46)*(1+IF(G46="X", 0.75, 0) +IF(H46="X", 0.5, 0) + IF(I46="X", 0.25, 0) ), "")</f>
        <v/>
      </c>
      <c r="M46" s="174" t="str">
        <f>IFERROR('Pistol Troyer'!$J$2*(F46/D46)*(1+IF(G46="X", 0.75, 0) +IF(H46="X", 0.5, 0) + IF(I46="X", 0.25, 0) + IF(J46="X", 0.25, 0) + IF(K46="X", 0.25, 0)), "")</f>
        <v/>
      </c>
      <c r="N46" s="175" t="str">
        <f>_xlfn.IFNA(IF(OR(L46&gt;50, OR(OR(VLOOKUP(D46,'Selection Lists'!$A$4:$B$17, 2, FALSE)&lt;1/2, VLOOKUP(D46, 'Selection Lists'!$A$4:$B$17, 2, FALSE)&gt;2)), OR(INT(F46)&lt;10, INT(F46)&gt;35)), $Q$5, ""), "") &amp; " " &amp; _xlfn.IFNA(IF(AND(VLOOKUP(D46, 'Selection Lists'!$A$4:$B$17, 2, FALSE)&lt;1.5, INT(F46)&gt;30), $Q$6, ""), "") &amp; " " &amp; _xlfn.IFNA(IF(AND(OR(G46="X",H46="X"), OR(VLOOKUP(D46, 'Selection Lists'!$A$4:$B$17, 2, FALSE)&lt;1, INT(F46)&gt;30)), $Q$7, ""), "")</f>
        <v xml:space="preserve">  </v>
      </c>
    </row>
    <row r="47" spans="1:14" x14ac:dyDescent="0.2">
      <c r="A47" s="182"/>
      <c r="B47" s="156" t="s">
        <v>13</v>
      </c>
      <c r="C47" s="26"/>
      <c r="D47" s="27"/>
      <c r="E47" s="26"/>
      <c r="F47" s="28"/>
      <c r="G47" s="46"/>
      <c r="H47" s="29"/>
      <c r="I47" s="29"/>
      <c r="J47" s="29"/>
      <c r="K47" s="29"/>
      <c r="L47" s="176" t="str">
        <f>IFERROR('Pistol Troyer'!$J$2*(F47/D47)*(1+IF(G47="X", 0.75, 0) +IF(H47="X", 0.5, 0) + IF(I47="X", 0.25, 0) ), "")</f>
        <v/>
      </c>
      <c r="M47" s="177" t="str">
        <f>IFERROR('Pistol Troyer'!$J$2*(F47/D47)*(1+IF(G47="X", 0.75, 0) +IF(H47="X", 0.5, 0) + IF(I47="X", 0.25, 0) + IF(J47="X", 0.25, 0) + IF(K47="X", 0.25, 0)), "")</f>
        <v/>
      </c>
      <c r="N47" s="175" t="str">
        <f>_xlfn.IFNA(IF(OR(L47&gt;50, OR(OR(VLOOKUP(D47,'Selection Lists'!$A$4:$B$17, 2, FALSE)&lt;1/2, VLOOKUP(D47, 'Selection Lists'!$A$4:$B$17, 2, FALSE)&gt;2)), OR(INT(F47)&lt;10, INT(F47)&gt;35)), $Q$5, ""), "") &amp; " " &amp; _xlfn.IFNA(IF(AND(VLOOKUP(D47, 'Selection Lists'!$A$4:$B$17, 2, FALSE)&lt;1.5, INT(F47)&gt;30), $Q$6, ""), "") &amp; " " &amp; _xlfn.IFNA(IF(AND(OR(G47="X",H47="X"), OR(VLOOKUP(D47, 'Selection Lists'!$A$4:$B$17, 2, FALSE)&lt;1, INT(F47)&gt;30)), $Q$7, ""), "")</f>
        <v xml:space="preserve">  </v>
      </c>
    </row>
    <row r="48" spans="1:14" ht="13.5" thickBot="1" x14ac:dyDescent="0.25">
      <c r="A48" s="183"/>
      <c r="B48" s="158" t="s">
        <v>14</v>
      </c>
      <c r="C48" s="35"/>
      <c r="D48" s="36"/>
      <c r="E48" s="35"/>
      <c r="F48" s="37"/>
      <c r="G48" s="47"/>
      <c r="H48" s="38"/>
      <c r="I48" s="38"/>
      <c r="J48" s="38"/>
      <c r="K48" s="38"/>
      <c r="L48" s="178" t="str">
        <f>IFERROR('Pistol Troyer'!$J$2*(F48/D48)*(1+IF(G48="X", 0.75, 0) +IF(H48="X", 0.5, 0) + IF(I48="X", 0.25, 0) ), "")</f>
        <v/>
      </c>
      <c r="M48" s="179" t="str">
        <f>IFERROR('Pistol Troyer'!$J$2*(F48/D48)*(1+IF(G48="X", 0.75, 0) +IF(H48="X", 0.5, 0) + IF(I48="X", 0.25, 0) + IF(J48="X", 0.25, 0) + IF(K48="X", 0.25, 0)), "")</f>
        <v/>
      </c>
      <c r="N48" s="175" t="str">
        <f>_xlfn.IFNA(IF(OR(L48&gt;50, OR(OR(VLOOKUP(D48,'Selection Lists'!$A$4:$B$17, 2, FALSE)&lt;1/2, VLOOKUP(D48, 'Selection Lists'!$A$4:$B$17, 2, FALSE)&gt;2)), OR(INT(F48)&lt;10, INT(F48)&gt;35)), $Q$5, ""), "") &amp; " " &amp; _xlfn.IFNA(IF(AND(VLOOKUP(D48, 'Selection Lists'!$A$4:$B$17, 2, FALSE)&lt;1.5, INT(F48)&gt;30), $Q$6, ""), "") &amp; " " &amp; _xlfn.IFNA(IF(AND(OR(G48="X",H48="X"), OR(VLOOKUP(D48, 'Selection Lists'!$A$4:$B$17, 2, FALSE)&lt;1, INT(F48)&gt;30)), $Q$7, ""), "")</f>
        <v xml:space="preserve">  </v>
      </c>
    </row>
    <row r="49" spans="1:14" x14ac:dyDescent="0.2">
      <c r="A49" s="181">
        <v>16</v>
      </c>
      <c r="B49" s="154" t="s">
        <v>12</v>
      </c>
      <c r="C49" s="30"/>
      <c r="D49" s="31"/>
      <c r="E49" s="32"/>
      <c r="F49" s="33"/>
      <c r="G49" s="45"/>
      <c r="H49" s="34"/>
      <c r="I49" s="34"/>
      <c r="J49" s="34"/>
      <c r="K49" s="34"/>
      <c r="L49" s="173" t="str">
        <f>IFERROR('Pistol Troyer'!$J$2*(F49/D49)*(1+IF(G49="X", 0.75, 0) +IF(H49="X", 0.5, 0) + IF(I49="X", 0.25, 0) ), "")</f>
        <v/>
      </c>
      <c r="M49" s="174" t="str">
        <f>IFERROR('Pistol Troyer'!$J$2*(F49/D49)*(1+IF(G49="X", 0.75, 0) +IF(H49="X", 0.5, 0) + IF(I49="X", 0.25, 0) + IF(J49="X", 0.25, 0) + IF(K49="X", 0.25, 0)), "")</f>
        <v/>
      </c>
      <c r="N49" s="175" t="str">
        <f>_xlfn.IFNA(IF(OR(L49&gt;50, OR(OR(VLOOKUP(D49,'Selection Lists'!$A$4:$B$17, 2, FALSE)&lt;1/2, VLOOKUP(D49, 'Selection Lists'!$A$4:$B$17, 2, FALSE)&gt;2)), OR(INT(F49)&lt;10, INT(F49)&gt;35)), $Q$5, ""), "") &amp; " " &amp; _xlfn.IFNA(IF(AND(VLOOKUP(D49, 'Selection Lists'!$A$4:$B$17, 2, FALSE)&lt;1.5, INT(F49)&gt;30), $Q$6, ""), "") &amp; " " &amp; _xlfn.IFNA(IF(AND(OR(G49="X",H49="X"), OR(VLOOKUP(D49, 'Selection Lists'!$A$4:$B$17, 2, FALSE)&lt;1, INT(F49)&gt;30)), $Q$7, ""), "")</f>
        <v xml:space="preserve">  </v>
      </c>
    </row>
    <row r="50" spans="1:14" x14ac:dyDescent="0.2">
      <c r="A50" s="182"/>
      <c r="B50" s="156" t="s">
        <v>13</v>
      </c>
      <c r="C50" s="26"/>
      <c r="D50" s="27"/>
      <c r="E50" s="26"/>
      <c r="F50" s="28"/>
      <c r="G50" s="46"/>
      <c r="H50" s="29"/>
      <c r="I50" s="29"/>
      <c r="J50" s="29"/>
      <c r="K50" s="29"/>
      <c r="L50" s="176" t="str">
        <f>IFERROR('Pistol Troyer'!$J$2*(F50/D50)*(1+IF(G50="X", 0.75, 0) +IF(H50="X", 0.5, 0) + IF(I50="X", 0.25, 0) ), "")</f>
        <v/>
      </c>
      <c r="M50" s="177" t="str">
        <f>IFERROR('Pistol Troyer'!$J$2*(F50/D50)*(1+IF(G50="X", 0.75, 0) +IF(H50="X", 0.5, 0) + IF(I50="X", 0.25, 0) + IF(J50="X", 0.25, 0) + IF(K50="X", 0.25, 0)), "")</f>
        <v/>
      </c>
      <c r="N50" s="175" t="str">
        <f>_xlfn.IFNA(IF(OR(L50&gt;50, OR(OR(VLOOKUP(D50,'Selection Lists'!$A$4:$B$17, 2, FALSE)&lt;1/2, VLOOKUP(D50, 'Selection Lists'!$A$4:$B$17, 2, FALSE)&gt;2)), OR(INT(F50)&lt;10, INT(F50)&gt;35)), $Q$5, ""), "") &amp; " " &amp; _xlfn.IFNA(IF(AND(VLOOKUP(D50, 'Selection Lists'!$A$4:$B$17, 2, FALSE)&lt;1.5, INT(F50)&gt;30), $Q$6, ""), "") &amp; " " &amp; _xlfn.IFNA(IF(AND(OR(G50="X",H50="X"), OR(VLOOKUP(D50, 'Selection Lists'!$A$4:$B$17, 2, FALSE)&lt;1, INT(F50)&gt;30)), $Q$7, ""), "")</f>
        <v xml:space="preserve">  </v>
      </c>
    </row>
    <row r="51" spans="1:14" ht="13.5" thickBot="1" x14ac:dyDescent="0.25">
      <c r="A51" s="183"/>
      <c r="B51" s="158" t="s">
        <v>14</v>
      </c>
      <c r="C51" s="35"/>
      <c r="D51" s="36"/>
      <c r="E51" s="35"/>
      <c r="F51" s="37"/>
      <c r="G51" s="47"/>
      <c r="H51" s="38"/>
      <c r="I51" s="38"/>
      <c r="J51" s="38"/>
      <c r="K51" s="38"/>
      <c r="L51" s="178" t="str">
        <f>IFERROR('Pistol Troyer'!$J$2*(F51/D51)*(1+IF(G51="X", 0.75, 0) +IF(H51="X", 0.5, 0) + IF(I51="X", 0.25, 0) ), "")</f>
        <v/>
      </c>
      <c r="M51" s="179" t="str">
        <f>IFERROR('Pistol Troyer'!$J$2*(F51/D51)*(1+IF(G51="X", 0.75, 0) +IF(H51="X", 0.5, 0) + IF(I51="X", 0.25, 0) + IF(J51="X", 0.25, 0) + IF(K51="X", 0.25, 0)), "")</f>
        <v/>
      </c>
      <c r="N51" s="175" t="str">
        <f>_xlfn.IFNA(IF(OR(L51&gt;50, OR(OR(VLOOKUP(D51,'Selection Lists'!$A$4:$B$17, 2, FALSE)&lt;1/2, VLOOKUP(D51, 'Selection Lists'!$A$4:$B$17, 2, FALSE)&gt;2)), OR(INT(F51)&lt;10, INT(F51)&gt;35)), $Q$5, ""), "") &amp; " " &amp; _xlfn.IFNA(IF(AND(VLOOKUP(D51, 'Selection Lists'!$A$4:$B$17, 2, FALSE)&lt;1.5, INT(F51)&gt;30), $Q$6, ""), "") &amp; " " &amp; _xlfn.IFNA(IF(AND(OR(G51="X",H51="X"), OR(VLOOKUP(D51, 'Selection Lists'!$A$4:$B$17, 2, FALSE)&lt;1, INT(F51)&gt;30)), $Q$7, ""), "")</f>
        <v xml:space="preserve">  </v>
      </c>
    </row>
    <row r="52" spans="1:14" x14ac:dyDescent="0.2">
      <c r="A52" s="181">
        <v>17</v>
      </c>
      <c r="B52" s="154" t="s">
        <v>12</v>
      </c>
      <c r="C52" s="30"/>
      <c r="D52" s="31"/>
      <c r="E52" s="32"/>
      <c r="F52" s="33"/>
      <c r="G52" s="45"/>
      <c r="H52" s="34"/>
      <c r="I52" s="34"/>
      <c r="J52" s="34"/>
      <c r="K52" s="34"/>
      <c r="L52" s="173" t="str">
        <f>IFERROR('Pistol Troyer'!$J$2*(F52/D52)*(1+IF(G52="X", 0.75, 0) +IF(H52="X", 0.5, 0) + IF(I52="X", 0.25, 0) ), "")</f>
        <v/>
      </c>
      <c r="M52" s="174" t="str">
        <f>IFERROR('Pistol Troyer'!$J$2*(F52/D52)*(1+IF(G52="X", 0.75, 0) +IF(H52="X", 0.5, 0) + IF(I52="X", 0.25, 0) + IF(J52="X", 0.25, 0) + IF(K52="X", 0.25, 0)), "")</f>
        <v/>
      </c>
      <c r="N52" s="175" t="str">
        <f>_xlfn.IFNA(IF(OR(L52&gt;50, OR(OR(VLOOKUP(D52,'Selection Lists'!$A$4:$B$17, 2, FALSE)&lt;1/2, VLOOKUP(D52, 'Selection Lists'!$A$4:$B$17, 2, FALSE)&gt;2)), OR(INT(F52)&lt;10, INT(F52)&gt;35)), $Q$5, ""), "") &amp; " " &amp; _xlfn.IFNA(IF(AND(VLOOKUP(D52, 'Selection Lists'!$A$4:$B$17, 2, FALSE)&lt;1.5, INT(F52)&gt;30), $Q$6, ""), "") &amp; " " &amp; _xlfn.IFNA(IF(AND(OR(G52="X",H52="X"), OR(VLOOKUP(D52, 'Selection Lists'!$A$4:$B$17, 2, FALSE)&lt;1, INT(F52)&gt;30)), $Q$7, ""), "")</f>
        <v xml:space="preserve">  </v>
      </c>
    </row>
    <row r="53" spans="1:14" x14ac:dyDescent="0.2">
      <c r="A53" s="182"/>
      <c r="B53" s="156" t="s">
        <v>13</v>
      </c>
      <c r="C53" s="26"/>
      <c r="D53" s="27"/>
      <c r="E53" s="26"/>
      <c r="F53" s="28"/>
      <c r="G53" s="46"/>
      <c r="H53" s="29"/>
      <c r="I53" s="29"/>
      <c r="J53" s="29"/>
      <c r="K53" s="29"/>
      <c r="L53" s="176" t="str">
        <f>IFERROR('Pistol Troyer'!$J$2*(F53/D53)*(1+IF(G53="X", 0.75, 0) +IF(H53="X", 0.5, 0) + IF(I53="X", 0.25, 0) ), "")</f>
        <v/>
      </c>
      <c r="M53" s="177" t="str">
        <f>IFERROR('Pistol Troyer'!$J$2*(F53/D53)*(1+IF(G53="X", 0.75, 0) +IF(H53="X", 0.5, 0) + IF(I53="X", 0.25, 0) + IF(J53="X", 0.25, 0) + IF(K53="X", 0.25, 0)), "")</f>
        <v/>
      </c>
      <c r="N53" s="175" t="str">
        <f>_xlfn.IFNA(IF(OR(L53&gt;50, OR(OR(VLOOKUP(D53,'Selection Lists'!$A$4:$B$17, 2, FALSE)&lt;1/2, VLOOKUP(D53, 'Selection Lists'!$A$4:$B$17, 2, FALSE)&gt;2)), OR(INT(F53)&lt;10, INT(F53)&gt;35)), $Q$5, ""), "") &amp; " " &amp; _xlfn.IFNA(IF(AND(VLOOKUP(D53, 'Selection Lists'!$A$4:$B$17, 2, FALSE)&lt;1.5, INT(F53)&gt;30), $Q$6, ""), "") &amp; " " &amp; _xlfn.IFNA(IF(AND(OR(G53="X",H53="X"), OR(VLOOKUP(D53, 'Selection Lists'!$A$4:$B$17, 2, FALSE)&lt;1, INT(F53)&gt;30)), $Q$7, ""), "")</f>
        <v xml:space="preserve">  </v>
      </c>
    </row>
    <row r="54" spans="1:14" ht="13.5" thickBot="1" x14ac:dyDescent="0.25">
      <c r="A54" s="183"/>
      <c r="B54" s="158" t="s">
        <v>14</v>
      </c>
      <c r="C54" s="35"/>
      <c r="D54" s="36"/>
      <c r="E54" s="35"/>
      <c r="F54" s="37"/>
      <c r="G54" s="47"/>
      <c r="H54" s="38"/>
      <c r="I54" s="38"/>
      <c r="J54" s="38"/>
      <c r="K54" s="38"/>
      <c r="L54" s="178" t="str">
        <f>IFERROR('Pistol Troyer'!$J$2*(F54/D54)*(1+IF(G54="X", 0.75, 0) +IF(H54="X", 0.5, 0) + IF(I54="X", 0.25, 0) ), "")</f>
        <v/>
      </c>
      <c r="M54" s="179" t="str">
        <f>IFERROR('Pistol Troyer'!$J$2*(F54/D54)*(1+IF(G54="X", 0.75, 0) +IF(H54="X", 0.5, 0) + IF(I54="X", 0.25, 0) + IF(J54="X", 0.25, 0) + IF(K54="X", 0.25, 0)), "")</f>
        <v/>
      </c>
      <c r="N54" s="175" t="str">
        <f>_xlfn.IFNA(IF(OR(L54&gt;50, OR(OR(VLOOKUP(D54,'Selection Lists'!$A$4:$B$17, 2, FALSE)&lt;1/2, VLOOKUP(D54, 'Selection Lists'!$A$4:$B$17, 2, FALSE)&gt;2)), OR(INT(F54)&lt;10, INT(F54)&gt;35)), $Q$5, ""), "") &amp; " " &amp; _xlfn.IFNA(IF(AND(VLOOKUP(D54, 'Selection Lists'!$A$4:$B$17, 2, FALSE)&lt;1.5, INT(F54)&gt;30), $Q$6, ""), "") &amp; " " &amp; _xlfn.IFNA(IF(AND(OR(G54="X",H54="X"), OR(VLOOKUP(D54, 'Selection Lists'!$A$4:$B$17, 2, FALSE)&lt;1, INT(F54)&gt;30)), $Q$7, ""), "")</f>
        <v xml:space="preserve">  </v>
      </c>
    </row>
    <row r="55" spans="1:14" x14ac:dyDescent="0.2">
      <c r="A55" s="181">
        <v>18</v>
      </c>
      <c r="B55" s="154" t="s">
        <v>12</v>
      </c>
      <c r="C55" s="30"/>
      <c r="D55" s="31"/>
      <c r="E55" s="32"/>
      <c r="F55" s="33"/>
      <c r="G55" s="45"/>
      <c r="H55" s="34"/>
      <c r="I55" s="34"/>
      <c r="J55" s="34"/>
      <c r="K55" s="34"/>
      <c r="L55" s="173" t="str">
        <f>IFERROR('Pistol Troyer'!$J$2*(F55/D55)*(1+IF(G55="X", 0.75, 0) +IF(H55="X", 0.5, 0) + IF(I55="X", 0.25, 0) ), "")</f>
        <v/>
      </c>
      <c r="M55" s="174" t="str">
        <f>IFERROR('Pistol Troyer'!$J$2*(F55/D55)*(1+IF(G55="X", 0.75, 0) +IF(H55="X", 0.5, 0) + IF(I55="X", 0.25, 0) + IF(J55="X", 0.25, 0) + IF(K55="X", 0.25, 0)), "")</f>
        <v/>
      </c>
      <c r="N55" s="175" t="str">
        <f>_xlfn.IFNA(IF(OR(L55&gt;50, OR(OR(VLOOKUP(D55,'Selection Lists'!$A$4:$B$17, 2, FALSE)&lt;1/2, VLOOKUP(D55, 'Selection Lists'!$A$4:$B$17, 2, FALSE)&gt;2)), OR(INT(F55)&lt;10, INT(F55)&gt;35)), $Q$5, ""), "") &amp; " " &amp; _xlfn.IFNA(IF(AND(VLOOKUP(D55, 'Selection Lists'!$A$4:$B$17, 2, FALSE)&lt;1.5, INT(F55)&gt;30), $Q$6, ""), "") &amp; " " &amp; _xlfn.IFNA(IF(AND(OR(G55="X",H55="X"), OR(VLOOKUP(D55, 'Selection Lists'!$A$4:$B$17, 2, FALSE)&lt;1, INT(F55)&gt;30)), $Q$7, ""), "")</f>
        <v xml:space="preserve">  </v>
      </c>
    </row>
    <row r="56" spans="1:14" x14ac:dyDescent="0.2">
      <c r="A56" s="182"/>
      <c r="B56" s="156" t="s">
        <v>13</v>
      </c>
      <c r="C56" s="26"/>
      <c r="D56" s="27"/>
      <c r="E56" s="26"/>
      <c r="F56" s="28"/>
      <c r="G56" s="46"/>
      <c r="H56" s="29"/>
      <c r="I56" s="29"/>
      <c r="J56" s="29"/>
      <c r="K56" s="29"/>
      <c r="L56" s="176" t="str">
        <f>IFERROR('Pistol Troyer'!$J$2*(F56/D56)*(1+IF(G56="X", 0.75, 0) +IF(H56="X", 0.5, 0) + IF(I56="X", 0.25, 0) ), "")</f>
        <v/>
      </c>
      <c r="M56" s="177" t="str">
        <f>IFERROR('Pistol Troyer'!$J$2*(F56/D56)*(1+IF(G56="X", 0.75, 0) +IF(H56="X", 0.5, 0) + IF(I56="X", 0.25, 0) + IF(J56="X", 0.25, 0) + IF(K56="X", 0.25, 0)), "")</f>
        <v/>
      </c>
      <c r="N56" s="175" t="str">
        <f>_xlfn.IFNA(IF(OR(L56&gt;50, OR(OR(VLOOKUP(D56,'Selection Lists'!$A$4:$B$17, 2, FALSE)&lt;1/2, VLOOKUP(D56, 'Selection Lists'!$A$4:$B$17, 2, FALSE)&gt;2)), OR(INT(F56)&lt;10, INT(F56)&gt;35)), $Q$5, ""), "") &amp; " " &amp; _xlfn.IFNA(IF(AND(VLOOKUP(D56, 'Selection Lists'!$A$4:$B$17, 2, FALSE)&lt;1.5, INT(F56)&gt;30), $Q$6, ""), "") &amp; " " &amp; _xlfn.IFNA(IF(AND(OR(G56="X",H56="X"), OR(VLOOKUP(D56, 'Selection Lists'!$A$4:$B$17, 2, FALSE)&lt;1, INT(F56)&gt;30)), $Q$7, ""), "")</f>
        <v xml:space="preserve">  </v>
      </c>
    </row>
    <row r="57" spans="1:14" ht="13.5" thickBot="1" x14ac:dyDescent="0.25">
      <c r="A57" s="183"/>
      <c r="B57" s="158" t="s">
        <v>14</v>
      </c>
      <c r="C57" s="35"/>
      <c r="D57" s="36"/>
      <c r="E57" s="35"/>
      <c r="F57" s="37"/>
      <c r="G57" s="47"/>
      <c r="H57" s="38"/>
      <c r="I57" s="38"/>
      <c r="J57" s="38"/>
      <c r="K57" s="38"/>
      <c r="L57" s="178" t="str">
        <f>IFERROR('Pistol Troyer'!$J$2*(F57/D57)*(1+IF(G57="X", 0.75, 0) +IF(H57="X", 0.5, 0) + IF(I57="X", 0.25, 0) ), "")</f>
        <v/>
      </c>
      <c r="M57" s="179" t="str">
        <f>IFERROR('Pistol Troyer'!$J$2*(F57/D57)*(1+IF(G57="X", 0.75, 0) +IF(H57="X", 0.5, 0) + IF(I57="X", 0.25, 0) + IF(J57="X", 0.25, 0) + IF(K57="X", 0.25, 0)), "")</f>
        <v/>
      </c>
      <c r="N57" s="175" t="str">
        <f>_xlfn.IFNA(IF(OR(L57&gt;50, OR(OR(VLOOKUP(D57,'Selection Lists'!$A$4:$B$17, 2, FALSE)&lt;1/2, VLOOKUP(D57, 'Selection Lists'!$A$4:$B$17, 2, FALSE)&gt;2)), OR(INT(F57)&lt;10, INT(F57)&gt;35)), $Q$5, ""), "") &amp; " " &amp; _xlfn.IFNA(IF(AND(VLOOKUP(D57, 'Selection Lists'!$A$4:$B$17, 2, FALSE)&lt;1.5, INT(F57)&gt;30), $Q$6, ""), "") &amp; " " &amp; _xlfn.IFNA(IF(AND(OR(G57="X",H57="X"), OR(VLOOKUP(D57, 'Selection Lists'!$A$4:$B$17, 2, FALSE)&lt;1, INT(F57)&gt;30)), $Q$7, ""), "")</f>
        <v xml:space="preserve">  </v>
      </c>
    </row>
    <row r="58" spans="1:14" x14ac:dyDescent="0.2">
      <c r="A58" s="181">
        <v>19</v>
      </c>
      <c r="B58" s="154" t="s">
        <v>12</v>
      </c>
      <c r="C58" s="30"/>
      <c r="D58" s="31"/>
      <c r="E58" s="32"/>
      <c r="F58" s="33"/>
      <c r="G58" s="45"/>
      <c r="H58" s="34"/>
      <c r="I58" s="34"/>
      <c r="J58" s="34"/>
      <c r="K58" s="34"/>
      <c r="L58" s="173" t="str">
        <f>IFERROR('Pistol Troyer'!$J$2*(F58/D58)*(1+IF(G58="X", 0.75, 0) +IF(H58="X", 0.5, 0) + IF(I58="X", 0.25, 0) ), "")</f>
        <v/>
      </c>
      <c r="M58" s="174" t="str">
        <f>IFERROR('Pistol Troyer'!$J$2*(F58/D58)*(1+IF(G58="X", 0.75, 0) +IF(H58="X", 0.5, 0) + IF(I58="X", 0.25, 0) + IF(J58="X", 0.25, 0) + IF(K58="X", 0.25, 0)), "")</f>
        <v/>
      </c>
      <c r="N58" s="175" t="str">
        <f>_xlfn.IFNA(IF(OR(L58&gt;50, OR(OR(VLOOKUP(D58,'Selection Lists'!$A$4:$B$17, 2, FALSE)&lt;1/2, VLOOKUP(D58, 'Selection Lists'!$A$4:$B$17, 2, FALSE)&gt;2)), OR(INT(F58)&lt;10, INT(F58)&gt;35)), $Q$5, ""), "") &amp; " " &amp; _xlfn.IFNA(IF(AND(VLOOKUP(D58, 'Selection Lists'!$A$4:$B$17, 2, FALSE)&lt;1.5, INT(F58)&gt;30), $Q$6, ""), "") &amp; " " &amp; _xlfn.IFNA(IF(AND(OR(G58="X",H58="X"), OR(VLOOKUP(D58, 'Selection Lists'!$A$4:$B$17, 2, FALSE)&lt;1, INT(F58)&gt;30)), $Q$7, ""), "")</f>
        <v xml:space="preserve">  </v>
      </c>
    </row>
    <row r="59" spans="1:14" x14ac:dyDescent="0.2">
      <c r="A59" s="182"/>
      <c r="B59" s="156" t="s">
        <v>13</v>
      </c>
      <c r="C59" s="26"/>
      <c r="D59" s="27"/>
      <c r="E59" s="26"/>
      <c r="F59" s="28"/>
      <c r="G59" s="46"/>
      <c r="H59" s="29"/>
      <c r="I59" s="29"/>
      <c r="J59" s="29"/>
      <c r="K59" s="29"/>
      <c r="L59" s="176" t="str">
        <f>IFERROR('Pistol Troyer'!$J$2*(F59/D59)*(1+IF(G59="X", 0.75, 0) +IF(H59="X", 0.5, 0) + IF(I59="X", 0.25, 0) ), "")</f>
        <v/>
      </c>
      <c r="M59" s="177" t="str">
        <f>IFERROR('Pistol Troyer'!$J$2*(F59/D59)*(1+IF(G59="X", 0.75, 0) +IF(H59="X", 0.5, 0) + IF(I59="X", 0.25, 0) + IF(J59="X", 0.25, 0) + IF(K59="X", 0.25, 0)), "")</f>
        <v/>
      </c>
      <c r="N59" s="175" t="str">
        <f>_xlfn.IFNA(IF(OR(L59&gt;50, OR(OR(VLOOKUP(D59,'Selection Lists'!$A$4:$B$17, 2, FALSE)&lt;1/2, VLOOKUP(D59, 'Selection Lists'!$A$4:$B$17, 2, FALSE)&gt;2)), OR(INT(F59)&lt;10, INT(F59)&gt;35)), $Q$5, ""), "") &amp; " " &amp; _xlfn.IFNA(IF(AND(VLOOKUP(D59, 'Selection Lists'!$A$4:$B$17, 2, FALSE)&lt;1.5, INT(F59)&gt;30), $Q$6, ""), "") &amp; " " &amp; _xlfn.IFNA(IF(AND(OR(G59="X",H59="X"), OR(VLOOKUP(D59, 'Selection Lists'!$A$4:$B$17, 2, FALSE)&lt;1, INT(F59)&gt;30)), $Q$7, ""), "")</f>
        <v xml:space="preserve">  </v>
      </c>
    </row>
    <row r="60" spans="1:14" ht="13.5" thickBot="1" x14ac:dyDescent="0.25">
      <c r="A60" s="183"/>
      <c r="B60" s="158" t="s">
        <v>14</v>
      </c>
      <c r="C60" s="35"/>
      <c r="D60" s="36"/>
      <c r="E60" s="35"/>
      <c r="F60" s="37"/>
      <c r="G60" s="47"/>
      <c r="H60" s="38"/>
      <c r="I60" s="38"/>
      <c r="J60" s="38"/>
      <c r="K60" s="38"/>
      <c r="L60" s="178" t="str">
        <f>IFERROR('Pistol Troyer'!$J$2*(F60/D60)*(1+IF(G60="X", 0.75, 0) +IF(H60="X", 0.5, 0) + IF(I60="X", 0.25, 0) ), "")</f>
        <v/>
      </c>
      <c r="M60" s="179" t="str">
        <f>IFERROR('Pistol Troyer'!$J$2*(F60/D60)*(1+IF(G60="X", 0.75, 0) +IF(H60="X", 0.5, 0) + IF(I60="X", 0.25, 0) + IF(J60="X", 0.25, 0) + IF(K60="X", 0.25, 0)), "")</f>
        <v/>
      </c>
      <c r="N60" s="175" t="str">
        <f>_xlfn.IFNA(IF(OR(L60&gt;50, OR(OR(VLOOKUP(D60,'Selection Lists'!$A$4:$B$17, 2, FALSE)&lt;1/2, VLOOKUP(D60, 'Selection Lists'!$A$4:$B$17, 2, FALSE)&gt;2)), OR(INT(F60)&lt;10, INT(F60)&gt;35)), $Q$5, ""), "") &amp; " " &amp; _xlfn.IFNA(IF(AND(VLOOKUP(D60, 'Selection Lists'!$A$4:$B$17, 2, FALSE)&lt;1.5, INT(F60)&gt;30), $Q$6, ""), "") &amp; " " &amp; _xlfn.IFNA(IF(AND(OR(G60="X",H60="X"), OR(VLOOKUP(D60, 'Selection Lists'!$A$4:$B$17, 2, FALSE)&lt;1, INT(F60)&gt;30)), $Q$7, ""), "")</f>
        <v xml:space="preserve">  </v>
      </c>
    </row>
    <row r="61" spans="1:14" x14ac:dyDescent="0.2">
      <c r="A61" s="181">
        <v>20</v>
      </c>
      <c r="B61" s="154" t="s">
        <v>12</v>
      </c>
      <c r="C61" s="30"/>
      <c r="D61" s="31"/>
      <c r="E61" s="32"/>
      <c r="F61" s="33"/>
      <c r="G61" s="45"/>
      <c r="H61" s="34"/>
      <c r="I61" s="34"/>
      <c r="J61" s="34"/>
      <c r="K61" s="34"/>
      <c r="L61" s="173" t="str">
        <f>IFERROR('Pistol Troyer'!$J$2*(F61/D61)*(1+IF(G61="X", 0.75, 0) +IF(H61="X", 0.5, 0) + IF(I61="X", 0.25, 0) ), "")</f>
        <v/>
      </c>
      <c r="M61" s="174" t="str">
        <f>IFERROR('Pistol Troyer'!$J$2*(F61/D61)*(1+IF(G61="X", 0.75, 0) +IF(H61="X", 0.5, 0) + IF(I61="X", 0.25, 0) + IF(J61="X", 0.25, 0) + IF(K61="X", 0.25, 0)), "")</f>
        <v/>
      </c>
      <c r="N61" s="175" t="str">
        <f>_xlfn.IFNA(IF(OR(L61&gt;50, OR(OR(VLOOKUP(D61,'Selection Lists'!$A$4:$B$17, 2, FALSE)&lt;1/2, VLOOKUP(D61, 'Selection Lists'!$A$4:$B$17, 2, FALSE)&gt;2)), OR(INT(F61)&lt;10, INT(F61)&gt;35)), $Q$5, ""), "") &amp; " " &amp; _xlfn.IFNA(IF(AND(VLOOKUP(D61, 'Selection Lists'!$A$4:$B$17, 2, FALSE)&lt;1.5, INT(F61)&gt;30), $Q$6, ""), "") &amp; " " &amp; _xlfn.IFNA(IF(AND(OR(G61="X",H61="X"), OR(VLOOKUP(D61, 'Selection Lists'!$A$4:$B$17, 2, FALSE)&lt;1, INT(F61)&gt;30)), $Q$7, ""), "")</f>
        <v xml:space="preserve">  </v>
      </c>
    </row>
    <row r="62" spans="1:14" x14ac:dyDescent="0.2">
      <c r="A62" s="182"/>
      <c r="B62" s="156" t="s">
        <v>13</v>
      </c>
      <c r="C62" s="26"/>
      <c r="D62" s="27"/>
      <c r="E62" s="26"/>
      <c r="F62" s="28"/>
      <c r="G62" s="46"/>
      <c r="H62" s="29"/>
      <c r="I62" s="29"/>
      <c r="J62" s="29"/>
      <c r="K62" s="29"/>
      <c r="L62" s="176" t="str">
        <f>IFERROR('Pistol Troyer'!$J$2*(F62/D62)*(1+IF(G62="X", 0.75, 0) +IF(H62="X", 0.5, 0) + IF(I62="X", 0.25, 0) ), "")</f>
        <v/>
      </c>
      <c r="M62" s="177" t="str">
        <f>IFERROR('Pistol Troyer'!$J$2*(F62/D62)*(1+IF(G62="X", 0.75, 0) +IF(H62="X", 0.5, 0) + IF(I62="X", 0.25, 0) + IF(J62="X", 0.25, 0) + IF(K62="X", 0.25, 0)), "")</f>
        <v/>
      </c>
      <c r="N62" s="175" t="str">
        <f>_xlfn.IFNA(IF(OR(L62&gt;50, OR(OR(VLOOKUP(D62,'Selection Lists'!$A$4:$B$17, 2, FALSE)&lt;1/2, VLOOKUP(D62, 'Selection Lists'!$A$4:$B$17, 2, FALSE)&gt;2)), OR(INT(F62)&lt;10, INT(F62)&gt;35)), $Q$5, ""), "") &amp; " " &amp; _xlfn.IFNA(IF(AND(VLOOKUP(D62, 'Selection Lists'!$A$4:$B$17, 2, FALSE)&lt;1.5, INT(F62)&gt;30), $Q$6, ""), "") &amp; " " &amp; _xlfn.IFNA(IF(AND(OR(G62="X",H62="X"), OR(VLOOKUP(D62, 'Selection Lists'!$A$4:$B$17, 2, FALSE)&lt;1, INT(F62)&gt;30)), $Q$7, ""), "")</f>
        <v xml:space="preserve">  </v>
      </c>
    </row>
    <row r="63" spans="1:14" ht="13.5" thickBot="1" x14ac:dyDescent="0.25">
      <c r="A63" s="183"/>
      <c r="B63" s="158" t="s">
        <v>14</v>
      </c>
      <c r="C63" s="35"/>
      <c r="D63" s="36"/>
      <c r="E63" s="35"/>
      <c r="F63" s="37"/>
      <c r="G63" s="47"/>
      <c r="H63" s="38"/>
      <c r="I63" s="38"/>
      <c r="J63" s="38"/>
      <c r="K63" s="38"/>
      <c r="L63" s="178" t="str">
        <f>IFERROR('Pistol Troyer'!$J$2*(F63/D63)*(1+IF(G63="X", 0.75, 0) +IF(H63="X", 0.5, 0) + IF(I63="X", 0.25, 0) ), "")</f>
        <v/>
      </c>
      <c r="M63" s="179" t="str">
        <f>IFERROR('Pistol Troyer'!$J$2*(F63/D63)*(1+IF(G63="X", 0.75, 0) +IF(H63="X", 0.5, 0) + IF(I63="X", 0.25, 0) + IF(J63="X", 0.25, 0) + IF(K63="X", 0.25, 0)), "")</f>
        <v/>
      </c>
      <c r="N63" s="175" t="str">
        <f>_xlfn.IFNA(IF(OR(L63&gt;50, OR(OR(VLOOKUP(D63,'Selection Lists'!$A$4:$B$17, 2, FALSE)&lt;1/2, VLOOKUP(D63, 'Selection Lists'!$A$4:$B$17, 2, FALSE)&gt;2)), OR(INT(F63)&lt;10, INT(F63)&gt;35)), $Q$5, ""), "") &amp; " " &amp; _xlfn.IFNA(IF(AND(VLOOKUP(D63, 'Selection Lists'!$A$4:$B$17, 2, FALSE)&lt;1.5, INT(F63)&gt;30), $Q$6, ""), "") &amp; " " &amp; _xlfn.IFNA(IF(AND(OR(G63="X",H63="X"), OR(VLOOKUP(D63, 'Selection Lists'!$A$4:$B$17, 2, FALSE)&lt;1, INT(F63)&gt;30)), $Q$7, ""), "")</f>
        <v xml:space="preserve">  </v>
      </c>
    </row>
    <row r="64" spans="1:14" x14ac:dyDescent="0.2">
      <c r="A64" s="181">
        <v>21</v>
      </c>
      <c r="B64" s="154" t="s">
        <v>12</v>
      </c>
      <c r="C64" s="30"/>
      <c r="D64" s="31"/>
      <c r="E64" s="32"/>
      <c r="F64" s="33"/>
      <c r="G64" s="45"/>
      <c r="H64" s="34"/>
      <c r="I64" s="34"/>
      <c r="J64" s="34"/>
      <c r="K64" s="34"/>
      <c r="L64" s="173" t="str">
        <f>IFERROR('Pistol Troyer'!$J$2*(F64/D64)*(1+IF(G64="X", 0.75, 0) +IF(H64="X", 0.5, 0) + IF(I64="X", 0.25, 0) ), "")</f>
        <v/>
      </c>
      <c r="M64" s="174" t="str">
        <f>IFERROR('Pistol Troyer'!$J$2*(F64/D64)*(1+IF(G64="X", 0.75, 0) +IF(H64="X", 0.5, 0) + IF(I64="X", 0.25, 0) + IF(J64="X", 0.25, 0) + IF(K64="X", 0.25, 0)), "")</f>
        <v/>
      </c>
      <c r="N64" s="175" t="str">
        <f>_xlfn.IFNA(IF(OR(L64&gt;50, OR(OR(VLOOKUP(D64,'Selection Lists'!$A$4:$B$17, 2, FALSE)&lt;1/2, VLOOKUP(D64, 'Selection Lists'!$A$4:$B$17, 2, FALSE)&gt;2)), OR(INT(F64)&lt;10, INT(F64)&gt;35)), $Q$5, ""), "") &amp; " " &amp; _xlfn.IFNA(IF(AND(VLOOKUP(D64, 'Selection Lists'!$A$4:$B$17, 2, FALSE)&lt;1.5, INT(F64)&gt;30), $Q$6, ""), "") &amp; " " &amp; _xlfn.IFNA(IF(AND(OR(G64="X",H64="X"), OR(VLOOKUP(D64, 'Selection Lists'!$A$4:$B$17, 2, FALSE)&lt;1, INT(F64)&gt;30)), $Q$7, ""), "")</f>
        <v xml:space="preserve">  </v>
      </c>
    </row>
    <row r="65" spans="1:14" x14ac:dyDescent="0.2">
      <c r="A65" s="182"/>
      <c r="B65" s="156" t="s">
        <v>13</v>
      </c>
      <c r="C65" s="26"/>
      <c r="D65" s="27"/>
      <c r="E65" s="26"/>
      <c r="F65" s="28"/>
      <c r="G65" s="46"/>
      <c r="H65" s="29"/>
      <c r="I65" s="29"/>
      <c r="J65" s="29"/>
      <c r="K65" s="29"/>
      <c r="L65" s="176" t="str">
        <f>IFERROR('Pistol Troyer'!$J$2*(F65/D65)*(1+IF(G65="X", 0.75, 0) +IF(H65="X", 0.5, 0) + IF(I65="X", 0.25, 0) ), "")</f>
        <v/>
      </c>
      <c r="M65" s="177" t="str">
        <f>IFERROR('Pistol Troyer'!$J$2*(F65/D65)*(1+IF(G65="X", 0.75, 0) +IF(H65="X", 0.5, 0) + IF(I65="X", 0.25, 0) + IF(J65="X", 0.25, 0) + IF(K65="X", 0.25, 0)), "")</f>
        <v/>
      </c>
      <c r="N65" s="175" t="str">
        <f>_xlfn.IFNA(IF(OR(L65&gt;50, OR(OR(VLOOKUP(D65,'Selection Lists'!$A$4:$B$17, 2, FALSE)&lt;1/2, VLOOKUP(D65, 'Selection Lists'!$A$4:$B$17, 2, FALSE)&gt;2)), OR(INT(F65)&lt;10, INT(F65)&gt;35)), $Q$5, ""), "") &amp; " " &amp; _xlfn.IFNA(IF(AND(VLOOKUP(D65, 'Selection Lists'!$A$4:$B$17, 2, FALSE)&lt;1.5, INT(F65)&gt;30), $Q$6, ""), "") &amp; " " &amp; _xlfn.IFNA(IF(AND(OR(G65="X",H65="X"), OR(VLOOKUP(D65, 'Selection Lists'!$A$4:$B$17, 2, FALSE)&lt;1, INT(F65)&gt;30)), $Q$7, ""), "")</f>
        <v xml:space="preserve">  </v>
      </c>
    </row>
    <row r="66" spans="1:14" ht="13.5" thickBot="1" x14ac:dyDescent="0.25">
      <c r="A66" s="183"/>
      <c r="B66" s="158" t="s">
        <v>14</v>
      </c>
      <c r="C66" s="35"/>
      <c r="D66" s="36"/>
      <c r="E66" s="35"/>
      <c r="F66" s="37"/>
      <c r="G66" s="47"/>
      <c r="H66" s="38"/>
      <c r="I66" s="38"/>
      <c r="J66" s="38"/>
      <c r="K66" s="38"/>
      <c r="L66" s="178" t="str">
        <f>IFERROR('Pistol Troyer'!$J$2*(F66/D66)*(1+IF(G66="X", 0.75, 0) +IF(H66="X", 0.5, 0) + IF(I66="X", 0.25, 0) ), "")</f>
        <v/>
      </c>
      <c r="M66" s="179" t="str">
        <f>IFERROR('Pistol Troyer'!$J$2*(F66/D66)*(1+IF(G66="X", 0.75, 0) +IF(H66="X", 0.5, 0) + IF(I66="X", 0.25, 0) + IF(J66="X", 0.25, 0) + IF(K66="X", 0.25, 0)), "")</f>
        <v/>
      </c>
      <c r="N66" s="175" t="str">
        <f>_xlfn.IFNA(IF(OR(L66&gt;50, OR(OR(VLOOKUP(D66,'Selection Lists'!$A$4:$B$17, 2, FALSE)&lt;1/2, VLOOKUP(D66, 'Selection Lists'!$A$4:$B$17, 2, FALSE)&gt;2)), OR(INT(F66)&lt;10, INT(F66)&gt;35)), $Q$5, ""), "") &amp; " " &amp; _xlfn.IFNA(IF(AND(VLOOKUP(D66, 'Selection Lists'!$A$4:$B$17, 2, FALSE)&lt;1.5, INT(F66)&gt;30), $Q$6, ""), "") &amp; " " &amp; _xlfn.IFNA(IF(AND(OR(G66="X",H66="X"), OR(VLOOKUP(D66, 'Selection Lists'!$A$4:$B$17, 2, FALSE)&lt;1, INT(F66)&gt;30)), $Q$7, ""), "")</f>
        <v xml:space="preserve">  </v>
      </c>
    </row>
    <row r="67" spans="1:14" x14ac:dyDescent="0.2">
      <c r="A67" s="181">
        <v>22</v>
      </c>
      <c r="B67" s="154" t="s">
        <v>12</v>
      </c>
      <c r="C67" s="30"/>
      <c r="D67" s="31"/>
      <c r="E67" s="32"/>
      <c r="F67" s="33"/>
      <c r="G67" s="45"/>
      <c r="H67" s="34"/>
      <c r="I67" s="34"/>
      <c r="J67" s="34"/>
      <c r="K67" s="34"/>
      <c r="L67" s="173" t="str">
        <f>IFERROR('Pistol Troyer'!$J$2*(F67/D67)*(1+IF(G67="X", 0.75, 0) +IF(H67="X", 0.5, 0) + IF(I67="X", 0.25, 0) ), "")</f>
        <v/>
      </c>
      <c r="M67" s="174" t="str">
        <f>IFERROR('Pistol Troyer'!$J$2*(F67/D67)*(1+IF(G67="X", 0.75, 0) +IF(H67="X", 0.5, 0) + IF(I67="X", 0.25, 0) + IF(J67="X", 0.25, 0) + IF(K67="X", 0.25, 0)), "")</f>
        <v/>
      </c>
      <c r="N67" s="175" t="str">
        <f>_xlfn.IFNA(IF(OR(L67&gt;50, OR(OR(VLOOKUP(D67,'Selection Lists'!$A$4:$B$17, 2, FALSE)&lt;1/2, VLOOKUP(D67, 'Selection Lists'!$A$4:$B$17, 2, FALSE)&gt;2)), OR(INT(F67)&lt;10, INT(F67)&gt;35)), $Q$5, ""), "") &amp; " " &amp; _xlfn.IFNA(IF(AND(VLOOKUP(D67, 'Selection Lists'!$A$4:$B$17, 2, FALSE)&lt;1.5, INT(F67)&gt;30), $Q$6, ""), "") &amp; " " &amp; _xlfn.IFNA(IF(AND(OR(G67="X",H67="X"), OR(VLOOKUP(D67, 'Selection Lists'!$A$4:$B$17, 2, FALSE)&lt;1, INT(F67)&gt;30)), $Q$7, ""), "")</f>
        <v xml:space="preserve">  </v>
      </c>
    </row>
    <row r="68" spans="1:14" x14ac:dyDescent="0.2">
      <c r="A68" s="182"/>
      <c r="B68" s="156" t="s">
        <v>13</v>
      </c>
      <c r="C68" s="26"/>
      <c r="D68" s="27"/>
      <c r="E68" s="26"/>
      <c r="F68" s="28"/>
      <c r="G68" s="46"/>
      <c r="H68" s="29"/>
      <c r="I68" s="29"/>
      <c r="J68" s="29"/>
      <c r="K68" s="29"/>
      <c r="L68" s="176" t="str">
        <f>IFERROR('Pistol Troyer'!$J$2*(F68/D68)*(1+IF(G68="X", 0.75, 0) +IF(H68="X", 0.5, 0) + IF(I68="X", 0.25, 0) ), "")</f>
        <v/>
      </c>
      <c r="M68" s="177" t="str">
        <f>IFERROR('Pistol Troyer'!$J$2*(F68/D68)*(1+IF(G68="X", 0.75, 0) +IF(H68="X", 0.5, 0) + IF(I68="X", 0.25, 0) + IF(J68="X", 0.25, 0) + IF(K68="X", 0.25, 0)), "")</f>
        <v/>
      </c>
      <c r="N68" s="175" t="str">
        <f>_xlfn.IFNA(IF(OR(L68&gt;50, OR(OR(VLOOKUP(D68,'Selection Lists'!$A$4:$B$17, 2, FALSE)&lt;1/2, VLOOKUP(D68, 'Selection Lists'!$A$4:$B$17, 2, FALSE)&gt;2)), OR(INT(F68)&lt;10, INT(F68)&gt;35)), $Q$5, ""), "") &amp; " " &amp; _xlfn.IFNA(IF(AND(VLOOKUP(D68, 'Selection Lists'!$A$4:$B$17, 2, FALSE)&lt;1.5, INT(F68)&gt;30), $Q$6, ""), "") &amp; " " &amp; _xlfn.IFNA(IF(AND(OR(G68="X",H68="X"), OR(VLOOKUP(D68, 'Selection Lists'!$A$4:$B$17, 2, FALSE)&lt;1, INT(F68)&gt;30)), $Q$7, ""), "")</f>
        <v xml:space="preserve">  </v>
      </c>
    </row>
    <row r="69" spans="1:14" ht="13.5" thickBot="1" x14ac:dyDescent="0.25">
      <c r="A69" s="183"/>
      <c r="B69" s="158" t="s">
        <v>14</v>
      </c>
      <c r="C69" s="35"/>
      <c r="D69" s="36"/>
      <c r="E69" s="35"/>
      <c r="F69" s="37"/>
      <c r="G69" s="47"/>
      <c r="H69" s="38"/>
      <c r="I69" s="38"/>
      <c r="J69" s="38"/>
      <c r="K69" s="38"/>
      <c r="L69" s="178" t="str">
        <f>IFERROR('Pistol Troyer'!$J$2*(F69/D69)*(1+IF(G69="X", 0.75, 0) +IF(H69="X", 0.5, 0) + IF(I69="X", 0.25, 0) ), "")</f>
        <v/>
      </c>
      <c r="M69" s="179" t="str">
        <f>IFERROR('Pistol Troyer'!$J$2*(F69/D69)*(1+IF(G69="X", 0.75, 0) +IF(H69="X", 0.5, 0) + IF(I69="X", 0.25, 0) + IF(J69="X", 0.25, 0) + IF(K69="X", 0.25, 0)), "")</f>
        <v/>
      </c>
      <c r="N69" s="175" t="str">
        <f>_xlfn.IFNA(IF(OR(L69&gt;50, OR(OR(VLOOKUP(D69,'Selection Lists'!$A$4:$B$17, 2, FALSE)&lt;1/2, VLOOKUP(D69, 'Selection Lists'!$A$4:$B$17, 2, FALSE)&gt;2)), OR(INT(F69)&lt;10, INT(F69)&gt;35)), $Q$5, ""), "") &amp; " " &amp; _xlfn.IFNA(IF(AND(VLOOKUP(D69, 'Selection Lists'!$A$4:$B$17, 2, FALSE)&lt;1.5, INT(F69)&gt;30), $Q$6, ""), "") &amp; " " &amp; _xlfn.IFNA(IF(AND(OR(G69="X",H69="X"), OR(VLOOKUP(D69, 'Selection Lists'!$A$4:$B$17, 2, FALSE)&lt;1, INT(F69)&gt;30)), $Q$7, ""), "")</f>
        <v xml:space="preserve">  </v>
      </c>
    </row>
    <row r="70" spans="1:14" x14ac:dyDescent="0.2">
      <c r="A70" s="181">
        <v>23</v>
      </c>
      <c r="B70" s="154" t="s">
        <v>12</v>
      </c>
      <c r="C70" s="30"/>
      <c r="D70" s="31"/>
      <c r="E70" s="32"/>
      <c r="F70" s="33"/>
      <c r="G70" s="45"/>
      <c r="H70" s="34"/>
      <c r="I70" s="34"/>
      <c r="J70" s="34"/>
      <c r="K70" s="34"/>
      <c r="L70" s="173" t="str">
        <f>IFERROR('Pistol Troyer'!$J$2*(F70/D70)*(1+IF(G70="X", 0.75, 0) +IF(H70="X", 0.5, 0) + IF(I70="X", 0.25, 0) ), "")</f>
        <v/>
      </c>
      <c r="M70" s="174" t="str">
        <f>IFERROR('Pistol Troyer'!$J$2*(F70/D70)*(1+IF(G70="X", 0.75, 0) +IF(H70="X", 0.5, 0) + IF(I70="X", 0.25, 0) + IF(J70="X", 0.25, 0) + IF(K70="X", 0.25, 0)), "")</f>
        <v/>
      </c>
      <c r="N70" s="175" t="str">
        <f>_xlfn.IFNA(IF(OR(L70&gt;50, OR(OR(VLOOKUP(D70,'Selection Lists'!$A$4:$B$17, 2, FALSE)&lt;1/2, VLOOKUP(D70, 'Selection Lists'!$A$4:$B$17, 2, FALSE)&gt;2)), OR(INT(F70)&lt;10, INT(F70)&gt;35)), $Q$5, ""), "") &amp; " " &amp; _xlfn.IFNA(IF(AND(VLOOKUP(D70, 'Selection Lists'!$A$4:$B$17, 2, FALSE)&lt;1.5, INT(F70)&gt;30), $Q$6, ""), "") &amp; " " &amp; _xlfn.IFNA(IF(AND(OR(G70="X",H70="X"), OR(VLOOKUP(D70, 'Selection Lists'!$A$4:$B$17, 2, FALSE)&lt;1, INT(F70)&gt;30)), $Q$7, ""), "")</f>
        <v xml:space="preserve">  </v>
      </c>
    </row>
    <row r="71" spans="1:14" x14ac:dyDescent="0.2">
      <c r="A71" s="182"/>
      <c r="B71" s="156" t="s">
        <v>13</v>
      </c>
      <c r="C71" s="26"/>
      <c r="D71" s="27"/>
      <c r="E71" s="26"/>
      <c r="F71" s="28"/>
      <c r="G71" s="46"/>
      <c r="H71" s="29"/>
      <c r="I71" s="29"/>
      <c r="J71" s="29"/>
      <c r="K71" s="29"/>
      <c r="L71" s="176" t="str">
        <f>IFERROR('Pistol Troyer'!$J$2*(F71/D71)*(1+IF(G71="X", 0.75, 0) +IF(H71="X", 0.5, 0) + IF(I71="X", 0.25, 0) ), "")</f>
        <v/>
      </c>
      <c r="M71" s="177" t="str">
        <f>IFERROR('Pistol Troyer'!$J$2*(F71/D71)*(1+IF(G71="X", 0.75, 0) +IF(H71="X", 0.5, 0) + IF(I71="X", 0.25, 0) + IF(J71="X", 0.25, 0) + IF(K71="X", 0.25, 0)), "")</f>
        <v/>
      </c>
      <c r="N71" s="175" t="str">
        <f>_xlfn.IFNA(IF(OR(L71&gt;50, OR(OR(VLOOKUP(D71,'Selection Lists'!$A$4:$B$17, 2, FALSE)&lt;1/2, VLOOKUP(D71, 'Selection Lists'!$A$4:$B$17, 2, FALSE)&gt;2)), OR(INT(F71)&lt;10, INT(F71)&gt;35)), $Q$5, ""), "") &amp; " " &amp; _xlfn.IFNA(IF(AND(VLOOKUP(D71, 'Selection Lists'!$A$4:$B$17, 2, FALSE)&lt;1.5, INT(F71)&gt;30), $Q$6, ""), "") &amp; " " &amp; _xlfn.IFNA(IF(AND(OR(G71="X",H71="X"), OR(VLOOKUP(D71, 'Selection Lists'!$A$4:$B$17, 2, FALSE)&lt;1, INT(F71)&gt;30)), $Q$7, ""), "")</f>
        <v xml:space="preserve">  </v>
      </c>
    </row>
    <row r="72" spans="1:14" ht="13.5" thickBot="1" x14ac:dyDescent="0.25">
      <c r="A72" s="183"/>
      <c r="B72" s="158" t="s">
        <v>14</v>
      </c>
      <c r="C72" s="35"/>
      <c r="D72" s="36"/>
      <c r="E72" s="35"/>
      <c r="F72" s="37"/>
      <c r="G72" s="47"/>
      <c r="H72" s="38"/>
      <c r="I72" s="38"/>
      <c r="J72" s="38"/>
      <c r="K72" s="38"/>
      <c r="L72" s="178" t="str">
        <f>IFERROR('Pistol Troyer'!$J$2*(F72/D72)*(1+IF(G72="X", 0.75, 0) +IF(H72="X", 0.5, 0) + IF(I72="X", 0.25, 0) ), "")</f>
        <v/>
      </c>
      <c r="M72" s="179" t="str">
        <f>IFERROR('Pistol Troyer'!$J$2*(F72/D72)*(1+IF(G72="X", 0.75, 0) +IF(H72="X", 0.5, 0) + IF(I72="X", 0.25, 0) + IF(J72="X", 0.25, 0) + IF(K72="X", 0.25, 0)), "")</f>
        <v/>
      </c>
      <c r="N72" s="175" t="str">
        <f>_xlfn.IFNA(IF(OR(L72&gt;50, OR(OR(VLOOKUP(D72,'Selection Lists'!$A$4:$B$17, 2, FALSE)&lt;1/2, VLOOKUP(D72, 'Selection Lists'!$A$4:$B$17, 2, FALSE)&gt;2)), OR(INT(F72)&lt;10, INT(F72)&gt;35)), $Q$5, ""), "") &amp; " " &amp; _xlfn.IFNA(IF(AND(VLOOKUP(D72, 'Selection Lists'!$A$4:$B$17, 2, FALSE)&lt;1.5, INT(F72)&gt;30), $Q$6, ""), "") &amp; " " &amp; _xlfn.IFNA(IF(AND(OR(G72="X",H72="X"), OR(VLOOKUP(D72, 'Selection Lists'!$A$4:$B$17, 2, FALSE)&lt;1, INT(F72)&gt;30)), $Q$7, ""), "")</f>
        <v xml:space="preserve">  </v>
      </c>
    </row>
    <row r="73" spans="1:14" x14ac:dyDescent="0.2">
      <c r="A73" s="181">
        <v>24</v>
      </c>
      <c r="B73" s="154" t="s">
        <v>12</v>
      </c>
      <c r="C73" s="30"/>
      <c r="D73" s="31"/>
      <c r="E73" s="32"/>
      <c r="F73" s="33"/>
      <c r="G73" s="45"/>
      <c r="H73" s="34"/>
      <c r="I73" s="34"/>
      <c r="J73" s="34"/>
      <c r="K73" s="34"/>
      <c r="L73" s="173" t="str">
        <f>IFERROR('Pistol Troyer'!$J$2*(F73/D73)*(1+IF(G73="X", 0.75, 0) +IF(H73="X", 0.5, 0) + IF(I73="X", 0.25, 0) ), "")</f>
        <v/>
      </c>
      <c r="M73" s="174" t="str">
        <f>IFERROR('Pistol Troyer'!$J$2*(F73/D73)*(1+IF(G73="X", 0.75, 0) +IF(H73="X", 0.5, 0) + IF(I73="X", 0.25, 0) + IF(J73="X", 0.25, 0) + IF(K73="X", 0.25, 0)), "")</f>
        <v/>
      </c>
      <c r="N73" s="175" t="str">
        <f>_xlfn.IFNA(IF(OR(L73&gt;50, OR(OR(VLOOKUP(D73,'Selection Lists'!$A$4:$B$17, 2, FALSE)&lt;1/2, VLOOKUP(D73, 'Selection Lists'!$A$4:$B$17, 2, FALSE)&gt;2)), OR(INT(F73)&lt;10, INT(F73)&gt;35)), $Q$5, ""), "") &amp; " " &amp; _xlfn.IFNA(IF(AND(VLOOKUP(D73, 'Selection Lists'!$A$4:$B$17, 2, FALSE)&lt;1.5, INT(F73)&gt;30), $Q$6, ""), "") &amp; " " &amp; _xlfn.IFNA(IF(AND(OR(G73="X",H73="X"), OR(VLOOKUP(D73, 'Selection Lists'!$A$4:$B$17, 2, FALSE)&lt;1, INT(F73)&gt;30)), $Q$7, ""), "")</f>
        <v xml:space="preserve">  </v>
      </c>
    </row>
    <row r="74" spans="1:14" x14ac:dyDescent="0.2">
      <c r="A74" s="182"/>
      <c r="B74" s="156" t="s">
        <v>13</v>
      </c>
      <c r="C74" s="26"/>
      <c r="D74" s="27"/>
      <c r="E74" s="26"/>
      <c r="F74" s="28"/>
      <c r="G74" s="46"/>
      <c r="H74" s="29"/>
      <c r="I74" s="29"/>
      <c r="J74" s="29"/>
      <c r="K74" s="29"/>
      <c r="L74" s="176" t="str">
        <f>IFERROR('Pistol Troyer'!$J$2*(F74/D74)*(1+IF(G74="X", 0.75, 0) +IF(H74="X", 0.5, 0) + IF(I74="X", 0.25, 0) ), "")</f>
        <v/>
      </c>
      <c r="M74" s="177" t="str">
        <f>IFERROR('Pistol Troyer'!$J$2*(F74/D74)*(1+IF(G74="X", 0.75, 0) +IF(H74="X", 0.5, 0) + IF(I74="X", 0.25, 0) + IF(J74="X", 0.25, 0) + IF(K74="X", 0.25, 0)), "")</f>
        <v/>
      </c>
      <c r="N74" s="175" t="str">
        <f>_xlfn.IFNA(IF(OR(L74&gt;50, OR(OR(VLOOKUP(D74,'Selection Lists'!$A$4:$B$17, 2, FALSE)&lt;1/2, VLOOKUP(D74, 'Selection Lists'!$A$4:$B$17, 2, FALSE)&gt;2)), OR(INT(F74)&lt;10, INT(F74)&gt;35)), $Q$5, ""), "") &amp; " " &amp; _xlfn.IFNA(IF(AND(VLOOKUP(D74, 'Selection Lists'!$A$4:$B$17, 2, FALSE)&lt;1.5, INT(F74)&gt;30), $Q$6, ""), "") &amp; " " &amp; _xlfn.IFNA(IF(AND(OR(G74="X",H74="X"), OR(VLOOKUP(D74, 'Selection Lists'!$A$4:$B$17, 2, FALSE)&lt;1, INT(F74)&gt;30)), $Q$7, ""), "")</f>
        <v xml:space="preserve">  </v>
      </c>
    </row>
    <row r="75" spans="1:14" ht="13.5" thickBot="1" x14ac:dyDescent="0.25">
      <c r="A75" s="183"/>
      <c r="B75" s="158" t="s">
        <v>14</v>
      </c>
      <c r="C75" s="35"/>
      <c r="D75" s="36"/>
      <c r="E75" s="35"/>
      <c r="F75" s="37"/>
      <c r="G75" s="47"/>
      <c r="H75" s="38"/>
      <c r="I75" s="38"/>
      <c r="J75" s="38"/>
      <c r="K75" s="38"/>
      <c r="L75" s="178" t="str">
        <f>IFERROR('Pistol Troyer'!$J$2*(F75/D75)*(1+IF(G75="X", 0.75, 0) +IF(H75="X", 0.5, 0) + IF(I75="X", 0.25, 0) ), "")</f>
        <v/>
      </c>
      <c r="M75" s="179" t="str">
        <f>IFERROR('Pistol Troyer'!$J$2*(F75/D75)*(1+IF(G75="X", 0.75, 0) +IF(H75="X", 0.5, 0) + IF(I75="X", 0.25, 0) + IF(J75="X", 0.25, 0) + IF(K75="X", 0.25, 0)), "")</f>
        <v/>
      </c>
      <c r="N75" s="175" t="str">
        <f>_xlfn.IFNA(IF(OR(L75&gt;50, OR(OR(VLOOKUP(D75,'Selection Lists'!$A$4:$B$17, 2, FALSE)&lt;1/2, VLOOKUP(D75, 'Selection Lists'!$A$4:$B$17, 2, FALSE)&gt;2)), OR(INT(F75)&lt;10, INT(F75)&gt;35)), $Q$5, ""), "") &amp; " " &amp; _xlfn.IFNA(IF(AND(VLOOKUP(D75, 'Selection Lists'!$A$4:$B$17, 2, FALSE)&lt;1.5, INT(F75)&gt;30), $Q$6, ""), "") &amp; " " &amp; _xlfn.IFNA(IF(AND(OR(G75="X",H75="X"), OR(VLOOKUP(D75, 'Selection Lists'!$A$4:$B$17, 2, FALSE)&lt;1, INT(F75)&gt;30)), $Q$7, ""), "")</f>
        <v xml:space="preserve">  </v>
      </c>
    </row>
    <row r="76" spans="1:14" x14ac:dyDescent="0.2">
      <c r="A76" s="181">
        <v>25</v>
      </c>
      <c r="B76" s="154" t="s">
        <v>12</v>
      </c>
      <c r="C76" s="30"/>
      <c r="D76" s="31"/>
      <c r="E76" s="32"/>
      <c r="F76" s="33"/>
      <c r="G76" s="45"/>
      <c r="H76" s="34"/>
      <c r="I76" s="34"/>
      <c r="J76" s="34"/>
      <c r="K76" s="34"/>
      <c r="L76" s="173" t="str">
        <f>IFERROR('Pistol Troyer'!$J$2*(F76/D76)*(1+IF(G76="X", 0.75, 0) +IF(H76="X", 0.5, 0) + IF(I76="X", 0.25, 0) ), "")</f>
        <v/>
      </c>
      <c r="M76" s="174" t="str">
        <f>IFERROR('Pistol Troyer'!$J$2*(F76/D76)*(1+IF(G76="X", 0.75, 0) +IF(H76="X", 0.5, 0) + IF(I76="X", 0.25, 0) + IF(J76="X", 0.25, 0) + IF(K76="X", 0.25, 0)), "")</f>
        <v/>
      </c>
      <c r="N76" s="175" t="str">
        <f>_xlfn.IFNA(IF(OR(L76&gt;50, OR(OR(VLOOKUP(D76,'Selection Lists'!$A$4:$B$17, 2, FALSE)&lt;1/2, VLOOKUP(D76, 'Selection Lists'!$A$4:$B$17, 2, FALSE)&gt;2)), OR(INT(F76)&lt;10, INT(F76)&gt;35)), $Q$5, ""), "") &amp; " " &amp; _xlfn.IFNA(IF(AND(VLOOKUP(D76, 'Selection Lists'!$A$4:$B$17, 2, FALSE)&lt;1.5, INT(F76)&gt;30), $Q$6, ""), "") &amp; " " &amp; _xlfn.IFNA(IF(AND(OR(G76="X",H76="X"), OR(VLOOKUP(D76, 'Selection Lists'!$A$4:$B$17, 2, FALSE)&lt;1, INT(F76)&gt;30)), $Q$7, ""), "")</f>
        <v xml:space="preserve">  </v>
      </c>
    </row>
    <row r="77" spans="1:14" x14ac:dyDescent="0.2">
      <c r="A77" s="182"/>
      <c r="B77" s="156" t="s">
        <v>13</v>
      </c>
      <c r="C77" s="26"/>
      <c r="D77" s="27"/>
      <c r="E77" s="26"/>
      <c r="F77" s="28"/>
      <c r="G77" s="46"/>
      <c r="H77" s="29"/>
      <c r="I77" s="29"/>
      <c r="J77" s="29"/>
      <c r="K77" s="29"/>
      <c r="L77" s="176" t="str">
        <f>IFERROR('Pistol Troyer'!$J$2*(F77/D77)*(1+IF(G77="X", 0.75, 0) +IF(H77="X", 0.5, 0) + IF(I77="X", 0.25, 0) ), "")</f>
        <v/>
      </c>
      <c r="M77" s="177" t="str">
        <f>IFERROR('Pistol Troyer'!$J$2*(F77/D77)*(1+IF(G77="X", 0.75, 0) +IF(H77="X", 0.5, 0) + IF(I77="X", 0.25, 0) + IF(J77="X", 0.25, 0) + IF(K77="X", 0.25, 0)), "")</f>
        <v/>
      </c>
      <c r="N77" s="175" t="str">
        <f>_xlfn.IFNA(IF(OR(L77&gt;50, OR(OR(VLOOKUP(D77,'Selection Lists'!$A$4:$B$17, 2, FALSE)&lt;1/2, VLOOKUP(D77, 'Selection Lists'!$A$4:$B$17, 2, FALSE)&gt;2)), OR(INT(F77)&lt;10, INT(F77)&gt;35)), $Q$5, ""), "") &amp; " " &amp; _xlfn.IFNA(IF(AND(VLOOKUP(D77, 'Selection Lists'!$A$4:$B$17, 2, FALSE)&lt;1.5, INT(F77)&gt;30), $Q$6, ""), "") &amp; " " &amp; _xlfn.IFNA(IF(AND(OR(G77="X",H77="X"), OR(VLOOKUP(D77, 'Selection Lists'!$A$4:$B$17, 2, FALSE)&lt;1, INT(F77)&gt;30)), $Q$7, ""), "")</f>
        <v xml:space="preserve">  </v>
      </c>
    </row>
    <row r="78" spans="1:14" ht="13.5" thickBot="1" x14ac:dyDescent="0.25">
      <c r="A78" s="183"/>
      <c r="B78" s="158" t="s">
        <v>14</v>
      </c>
      <c r="C78" s="35"/>
      <c r="D78" s="36"/>
      <c r="E78" s="35"/>
      <c r="F78" s="37"/>
      <c r="G78" s="47"/>
      <c r="H78" s="38"/>
      <c r="I78" s="38"/>
      <c r="J78" s="38"/>
      <c r="K78" s="38"/>
      <c r="L78" s="178" t="str">
        <f>IFERROR('Pistol Troyer'!$J$2*(F78/D78)*(1+IF(G78="X", 0.75, 0) +IF(H78="X", 0.5, 0) + IF(I78="X", 0.25, 0) ), "")</f>
        <v/>
      </c>
      <c r="M78" s="179" t="str">
        <f>IFERROR('Pistol Troyer'!$J$2*(F78/D78)*(1+IF(G78="X", 0.75, 0) +IF(H78="X", 0.5, 0) + IF(I78="X", 0.25, 0) + IF(J78="X", 0.25, 0) + IF(K78="X", 0.25, 0)), "")</f>
        <v/>
      </c>
      <c r="N78" s="175" t="str">
        <f>_xlfn.IFNA(IF(OR(L78&gt;50, OR(OR(VLOOKUP(D78,'Selection Lists'!$A$4:$B$17, 2, FALSE)&lt;1/2, VLOOKUP(D78, 'Selection Lists'!$A$4:$B$17, 2, FALSE)&gt;2)), OR(INT(F78)&lt;10, INT(F78)&gt;35)), $Q$5, ""), "") &amp; " " &amp; _xlfn.IFNA(IF(AND(VLOOKUP(D78, 'Selection Lists'!$A$4:$B$17, 2, FALSE)&lt;1.5, INT(F78)&gt;30), $Q$6, ""), "") &amp; " " &amp; _xlfn.IFNA(IF(AND(OR(G78="X",H78="X"), OR(VLOOKUP(D78, 'Selection Lists'!$A$4:$B$17, 2, FALSE)&lt;1, INT(F78)&gt;30)), $Q$7, ""), "")</f>
        <v xml:space="preserve">  </v>
      </c>
    </row>
    <row r="79" spans="1:14" x14ac:dyDescent="0.2">
      <c r="A79" s="181">
        <v>26</v>
      </c>
      <c r="B79" s="154" t="s">
        <v>12</v>
      </c>
      <c r="C79" s="30"/>
      <c r="D79" s="31"/>
      <c r="E79" s="32"/>
      <c r="F79" s="33"/>
      <c r="G79" s="45"/>
      <c r="H79" s="34"/>
      <c r="I79" s="34"/>
      <c r="J79" s="34"/>
      <c r="K79" s="34"/>
      <c r="L79" s="173" t="str">
        <f>IFERROR('Pistol Troyer'!$J$2*(F79/D79)*(1+IF(G79="X", 0.75, 0) +IF(H79="X", 0.5, 0) + IF(I79="X", 0.25, 0) ), "")</f>
        <v/>
      </c>
      <c r="M79" s="174" t="str">
        <f>IFERROR('Pistol Troyer'!$J$2*(F79/D79)*(1+IF(G79="X", 0.75, 0) +IF(H79="X", 0.5, 0) + IF(I79="X", 0.25, 0) + IF(J79="X", 0.25, 0) + IF(K79="X", 0.25, 0)), "")</f>
        <v/>
      </c>
      <c r="N79" s="175" t="str">
        <f>_xlfn.IFNA(IF(OR(L79&gt;50, OR(OR(VLOOKUP(D79,'Selection Lists'!$A$4:$B$17, 2, FALSE)&lt;1/2, VLOOKUP(D79, 'Selection Lists'!$A$4:$B$17, 2, FALSE)&gt;2)), OR(INT(F79)&lt;10, INT(F79)&gt;35)), $Q$5, ""), "") &amp; " " &amp; _xlfn.IFNA(IF(AND(VLOOKUP(D79, 'Selection Lists'!$A$4:$B$17, 2, FALSE)&lt;1.5, INT(F79)&gt;30), $Q$6, ""), "") &amp; " " &amp; _xlfn.IFNA(IF(AND(OR(G79="X",H79="X"), OR(VLOOKUP(D79, 'Selection Lists'!$A$4:$B$17, 2, FALSE)&lt;1, INT(F79)&gt;30)), $Q$7, ""), "")</f>
        <v xml:space="preserve">  </v>
      </c>
    </row>
    <row r="80" spans="1:14" x14ac:dyDescent="0.2">
      <c r="A80" s="182"/>
      <c r="B80" s="156" t="s">
        <v>13</v>
      </c>
      <c r="C80" s="26"/>
      <c r="D80" s="27"/>
      <c r="E80" s="26"/>
      <c r="F80" s="28"/>
      <c r="G80" s="46"/>
      <c r="H80" s="29"/>
      <c r="I80" s="29"/>
      <c r="J80" s="29"/>
      <c r="K80" s="29"/>
      <c r="L80" s="176" t="str">
        <f>IFERROR('Pistol Troyer'!$J$2*(F80/D80)*(1+IF(G80="X", 0.75, 0) +IF(H80="X", 0.5, 0) + IF(I80="X", 0.25, 0) ), "")</f>
        <v/>
      </c>
      <c r="M80" s="177" t="str">
        <f>IFERROR('Pistol Troyer'!$J$2*(F80/D80)*(1+IF(G80="X", 0.75, 0) +IF(H80="X", 0.5, 0) + IF(I80="X", 0.25, 0) + IF(J80="X", 0.25, 0) + IF(K80="X", 0.25, 0)), "")</f>
        <v/>
      </c>
      <c r="N80" s="175" t="str">
        <f>_xlfn.IFNA(IF(OR(L80&gt;50, OR(OR(VLOOKUP(D80,'Selection Lists'!$A$4:$B$17, 2, FALSE)&lt;1/2, VLOOKUP(D80, 'Selection Lists'!$A$4:$B$17, 2, FALSE)&gt;2)), OR(INT(F80)&lt;10, INT(F80)&gt;35)), $Q$5, ""), "") &amp; " " &amp; _xlfn.IFNA(IF(AND(VLOOKUP(D80, 'Selection Lists'!$A$4:$B$17, 2, FALSE)&lt;1.5, INT(F80)&gt;30), $Q$6, ""), "") &amp; " " &amp; _xlfn.IFNA(IF(AND(OR(G80="X",H80="X"), OR(VLOOKUP(D80, 'Selection Lists'!$A$4:$B$17, 2, FALSE)&lt;1, INT(F80)&gt;30)), $Q$7, ""), "")</f>
        <v xml:space="preserve">  </v>
      </c>
    </row>
    <row r="81" spans="1:14" ht="13.5" thickBot="1" x14ac:dyDescent="0.25">
      <c r="A81" s="183"/>
      <c r="B81" s="158" t="s">
        <v>14</v>
      </c>
      <c r="C81" s="35"/>
      <c r="D81" s="36"/>
      <c r="E81" s="35"/>
      <c r="F81" s="37"/>
      <c r="G81" s="47"/>
      <c r="H81" s="38"/>
      <c r="I81" s="38"/>
      <c r="J81" s="38"/>
      <c r="K81" s="38"/>
      <c r="L81" s="178" t="str">
        <f>IFERROR('Pistol Troyer'!$J$2*(F81/D81)*(1+IF(G81="X", 0.75, 0) +IF(H81="X", 0.5, 0) + IF(I81="X", 0.25, 0) ), "")</f>
        <v/>
      </c>
      <c r="M81" s="179" t="str">
        <f>IFERROR('Pistol Troyer'!$J$2*(F81/D81)*(1+IF(G81="X", 0.75, 0) +IF(H81="X", 0.5, 0) + IF(I81="X", 0.25, 0) + IF(J81="X", 0.25, 0) + IF(K81="X", 0.25, 0)), "")</f>
        <v/>
      </c>
      <c r="N81" s="175" t="str">
        <f>_xlfn.IFNA(IF(OR(L81&gt;50, OR(OR(VLOOKUP(D81,'Selection Lists'!$A$4:$B$17, 2, FALSE)&lt;1/2, VLOOKUP(D81, 'Selection Lists'!$A$4:$B$17, 2, FALSE)&gt;2)), OR(INT(F81)&lt;10, INT(F81)&gt;35)), $Q$5, ""), "") &amp; " " &amp; _xlfn.IFNA(IF(AND(VLOOKUP(D81, 'Selection Lists'!$A$4:$B$17, 2, FALSE)&lt;1.5, INT(F81)&gt;30), $Q$6, ""), "") &amp; " " &amp; _xlfn.IFNA(IF(AND(OR(G81="X",H81="X"), OR(VLOOKUP(D81, 'Selection Lists'!$A$4:$B$17, 2, FALSE)&lt;1, INT(F81)&gt;30)), $Q$7, ""), "")</f>
        <v xml:space="preserve">  </v>
      </c>
    </row>
    <row r="82" spans="1:14" x14ac:dyDescent="0.2">
      <c r="A82" s="181">
        <v>27</v>
      </c>
      <c r="B82" s="154" t="s">
        <v>12</v>
      </c>
      <c r="C82" s="30"/>
      <c r="D82" s="31"/>
      <c r="E82" s="32"/>
      <c r="F82" s="33"/>
      <c r="G82" s="45"/>
      <c r="H82" s="34"/>
      <c r="I82" s="34"/>
      <c r="J82" s="34"/>
      <c r="K82" s="34"/>
      <c r="L82" s="173" t="str">
        <f>IFERROR('Pistol Troyer'!$J$2*(F82/D82)*(1+IF(G82="X", 0.75, 0) +IF(H82="X", 0.5, 0) + IF(I82="X", 0.25, 0) ), "")</f>
        <v/>
      </c>
      <c r="M82" s="174" t="str">
        <f>IFERROR('Pistol Troyer'!$J$2*(F82/D82)*(1+IF(G82="X", 0.75, 0) +IF(H82="X", 0.5, 0) + IF(I82="X", 0.25, 0) + IF(J82="X", 0.25, 0) + IF(K82="X", 0.25, 0)), "")</f>
        <v/>
      </c>
      <c r="N82" s="175" t="str">
        <f>_xlfn.IFNA(IF(OR(L82&gt;50, OR(OR(VLOOKUP(D82,'Selection Lists'!$A$4:$B$17, 2, FALSE)&lt;1/2, VLOOKUP(D82, 'Selection Lists'!$A$4:$B$17, 2, FALSE)&gt;2)), OR(INT(F82)&lt;10, INT(F82)&gt;35)), $Q$5, ""), "") &amp; " " &amp; _xlfn.IFNA(IF(AND(VLOOKUP(D82, 'Selection Lists'!$A$4:$B$17, 2, FALSE)&lt;1.5, INT(F82)&gt;30), $Q$6, ""), "") &amp; " " &amp; _xlfn.IFNA(IF(AND(OR(G82="X",H82="X"), OR(VLOOKUP(D82, 'Selection Lists'!$A$4:$B$17, 2, FALSE)&lt;1, INT(F82)&gt;30)), $Q$7, ""), "")</f>
        <v xml:space="preserve">  </v>
      </c>
    </row>
    <row r="83" spans="1:14" x14ac:dyDescent="0.2">
      <c r="A83" s="182"/>
      <c r="B83" s="156" t="s">
        <v>13</v>
      </c>
      <c r="C83" s="26"/>
      <c r="D83" s="27"/>
      <c r="E83" s="26"/>
      <c r="F83" s="28"/>
      <c r="G83" s="46"/>
      <c r="H83" s="29"/>
      <c r="I83" s="29"/>
      <c r="J83" s="29"/>
      <c r="K83" s="29"/>
      <c r="L83" s="176" t="str">
        <f>IFERROR('Pistol Troyer'!$J$2*(F83/D83)*(1+IF(G83="X", 0.75, 0) +IF(H83="X", 0.5, 0) + IF(I83="X", 0.25, 0) ), "")</f>
        <v/>
      </c>
      <c r="M83" s="177" t="str">
        <f>IFERROR('Pistol Troyer'!$J$2*(F83/D83)*(1+IF(G83="X", 0.75, 0) +IF(H83="X", 0.5, 0) + IF(I83="X", 0.25, 0) + IF(J83="X", 0.25, 0) + IF(K83="X", 0.25, 0)), "")</f>
        <v/>
      </c>
      <c r="N83" s="175" t="str">
        <f>_xlfn.IFNA(IF(OR(L83&gt;50, OR(OR(VLOOKUP(D83,'Selection Lists'!$A$4:$B$17, 2, FALSE)&lt;1/2, VLOOKUP(D83, 'Selection Lists'!$A$4:$B$17, 2, FALSE)&gt;2)), OR(INT(F83)&lt;10, INT(F83)&gt;35)), $Q$5, ""), "") &amp; " " &amp; _xlfn.IFNA(IF(AND(VLOOKUP(D83, 'Selection Lists'!$A$4:$B$17, 2, FALSE)&lt;1.5, INT(F83)&gt;30), $Q$6, ""), "") &amp; " " &amp; _xlfn.IFNA(IF(AND(OR(G83="X",H83="X"), OR(VLOOKUP(D83, 'Selection Lists'!$A$4:$B$17, 2, FALSE)&lt;1, INT(F83)&gt;30)), $Q$7, ""), "")</f>
        <v xml:space="preserve">  </v>
      </c>
    </row>
    <row r="84" spans="1:14" ht="13.5" thickBot="1" x14ac:dyDescent="0.25">
      <c r="A84" s="183"/>
      <c r="B84" s="158" t="s">
        <v>14</v>
      </c>
      <c r="C84" s="35"/>
      <c r="D84" s="36"/>
      <c r="E84" s="35"/>
      <c r="F84" s="37"/>
      <c r="G84" s="47"/>
      <c r="H84" s="38"/>
      <c r="I84" s="38"/>
      <c r="J84" s="38"/>
      <c r="K84" s="38"/>
      <c r="L84" s="178" t="str">
        <f>IFERROR('Pistol Troyer'!$J$2*(F84/D84)*(1+IF(G84="X", 0.75, 0) +IF(H84="X", 0.5, 0) + IF(I84="X", 0.25, 0) ), "")</f>
        <v/>
      </c>
      <c r="M84" s="179" t="str">
        <f>IFERROR('Pistol Troyer'!$J$2*(F84/D84)*(1+IF(G84="X", 0.75, 0) +IF(H84="X", 0.5, 0) + IF(I84="X", 0.25, 0) + IF(J84="X", 0.25, 0) + IF(K84="X", 0.25, 0)), "")</f>
        <v/>
      </c>
      <c r="N84" s="175" t="str">
        <f>_xlfn.IFNA(IF(OR(L84&gt;50, OR(OR(VLOOKUP(D84,'Selection Lists'!$A$4:$B$17, 2, FALSE)&lt;1/2, VLOOKUP(D84, 'Selection Lists'!$A$4:$B$17, 2, FALSE)&gt;2)), OR(INT(F84)&lt;10, INT(F84)&gt;35)), $Q$5, ""), "") &amp; " " &amp; _xlfn.IFNA(IF(AND(VLOOKUP(D84, 'Selection Lists'!$A$4:$B$17, 2, FALSE)&lt;1.5, INT(F84)&gt;30), $Q$6, ""), "") &amp; " " &amp; _xlfn.IFNA(IF(AND(OR(G84="X",H84="X"), OR(VLOOKUP(D84, 'Selection Lists'!$A$4:$B$17, 2, FALSE)&lt;1, INT(F84)&gt;30)), $Q$7, ""), "")</f>
        <v xml:space="preserve">  </v>
      </c>
    </row>
    <row r="85" spans="1:14" x14ac:dyDescent="0.2">
      <c r="A85" s="181">
        <v>28</v>
      </c>
      <c r="B85" s="154" t="s">
        <v>12</v>
      </c>
      <c r="C85" s="30"/>
      <c r="D85" s="31"/>
      <c r="E85" s="32"/>
      <c r="F85" s="33"/>
      <c r="G85" s="45"/>
      <c r="H85" s="34"/>
      <c r="I85" s="34"/>
      <c r="J85" s="34"/>
      <c r="K85" s="34"/>
      <c r="L85" s="173" t="str">
        <f>IFERROR('Pistol Troyer'!$J$2*(F85/D85)*(1+IF(G85="X", 0.75, 0) +IF(H85="X", 0.5, 0) + IF(I85="X", 0.25, 0) ), "")</f>
        <v/>
      </c>
      <c r="M85" s="174" t="str">
        <f>IFERROR('Pistol Troyer'!$J$2*(F85/D85)*(1+IF(G85="X", 0.75, 0) +IF(H85="X", 0.5, 0) + IF(I85="X", 0.25, 0) + IF(J85="X", 0.25, 0) + IF(K85="X", 0.25, 0)), "")</f>
        <v/>
      </c>
      <c r="N85" s="175" t="str">
        <f>_xlfn.IFNA(IF(OR(L85&gt;50, OR(OR(VLOOKUP(D85,'Selection Lists'!$A$4:$B$17, 2, FALSE)&lt;1/2, VLOOKUP(D85, 'Selection Lists'!$A$4:$B$17, 2, FALSE)&gt;2)), OR(INT(F85)&lt;10, INT(F85)&gt;35)), $Q$5, ""), "") &amp; " " &amp; _xlfn.IFNA(IF(AND(VLOOKUP(D85, 'Selection Lists'!$A$4:$B$17, 2, FALSE)&lt;1.5, INT(F85)&gt;30), $Q$6, ""), "") &amp; " " &amp; _xlfn.IFNA(IF(AND(OR(G85="X",H85="X"), OR(VLOOKUP(D85, 'Selection Lists'!$A$4:$B$17, 2, FALSE)&lt;1, INT(F85)&gt;30)), $Q$7, ""), "")</f>
        <v xml:space="preserve">  </v>
      </c>
    </row>
    <row r="86" spans="1:14" x14ac:dyDescent="0.2">
      <c r="A86" s="182"/>
      <c r="B86" s="156" t="s">
        <v>13</v>
      </c>
      <c r="C86" s="26"/>
      <c r="D86" s="27"/>
      <c r="E86" s="26"/>
      <c r="F86" s="28"/>
      <c r="G86" s="46"/>
      <c r="H86" s="29"/>
      <c r="I86" s="29"/>
      <c r="J86" s="29"/>
      <c r="K86" s="29"/>
      <c r="L86" s="176" t="str">
        <f>IFERROR('Pistol Troyer'!$J$2*(F86/D86)*(1+IF(G86="X", 0.75, 0) +IF(H86="X", 0.5, 0) + IF(I86="X", 0.25, 0) ), "")</f>
        <v/>
      </c>
      <c r="M86" s="177" t="str">
        <f>IFERROR('Pistol Troyer'!$J$2*(F86/D86)*(1+IF(G86="X", 0.75, 0) +IF(H86="X", 0.5, 0) + IF(I86="X", 0.25, 0) + IF(J86="X", 0.25, 0) + IF(K86="X", 0.25, 0)), "")</f>
        <v/>
      </c>
      <c r="N86" s="175" t="str">
        <f>_xlfn.IFNA(IF(OR(L86&gt;50, OR(OR(VLOOKUP(D86,'Selection Lists'!$A$4:$B$17, 2, FALSE)&lt;1/2, VLOOKUP(D86, 'Selection Lists'!$A$4:$B$17, 2, FALSE)&gt;2)), OR(INT(F86)&lt;10, INT(F86)&gt;35)), $Q$5, ""), "") &amp; " " &amp; _xlfn.IFNA(IF(AND(VLOOKUP(D86, 'Selection Lists'!$A$4:$B$17, 2, FALSE)&lt;1.5, INT(F86)&gt;30), $Q$6, ""), "") &amp; " " &amp; _xlfn.IFNA(IF(AND(OR(G86="X",H86="X"), OR(VLOOKUP(D86, 'Selection Lists'!$A$4:$B$17, 2, FALSE)&lt;1, INT(F86)&gt;30)), $Q$7, ""), "")</f>
        <v xml:space="preserve">  </v>
      </c>
    </row>
    <row r="87" spans="1:14" ht="13.5" thickBot="1" x14ac:dyDescent="0.25">
      <c r="A87" s="183"/>
      <c r="B87" s="158" t="s">
        <v>14</v>
      </c>
      <c r="C87" s="35"/>
      <c r="D87" s="36"/>
      <c r="E87" s="35"/>
      <c r="F87" s="37"/>
      <c r="G87" s="47"/>
      <c r="H87" s="38"/>
      <c r="I87" s="38"/>
      <c r="J87" s="38"/>
      <c r="K87" s="38"/>
      <c r="L87" s="178" t="str">
        <f>IFERROR('Pistol Troyer'!$J$2*(F87/D87)*(1+IF(G87="X", 0.75, 0) +IF(H87="X", 0.5, 0) + IF(I87="X", 0.25, 0) ), "")</f>
        <v/>
      </c>
      <c r="M87" s="179" t="str">
        <f>IFERROR('Pistol Troyer'!$J$2*(F87/D87)*(1+IF(G87="X", 0.75, 0) +IF(H87="X", 0.5, 0) + IF(I87="X", 0.25, 0) + IF(J87="X", 0.25, 0) + IF(K87="X", 0.25, 0)), "")</f>
        <v/>
      </c>
      <c r="N87" s="175" t="str">
        <f>_xlfn.IFNA(IF(OR(L87&gt;50, OR(OR(VLOOKUP(D87,'Selection Lists'!$A$4:$B$17, 2, FALSE)&lt;1/2, VLOOKUP(D87, 'Selection Lists'!$A$4:$B$17, 2, FALSE)&gt;2)), OR(INT(F87)&lt;10, INT(F87)&gt;35)), $Q$5, ""), "") &amp; " " &amp; _xlfn.IFNA(IF(AND(VLOOKUP(D87, 'Selection Lists'!$A$4:$B$17, 2, FALSE)&lt;1.5, INT(F87)&gt;30), $Q$6, ""), "") &amp; " " &amp; _xlfn.IFNA(IF(AND(OR(G87="X",H87="X"), OR(VLOOKUP(D87, 'Selection Lists'!$A$4:$B$17, 2, FALSE)&lt;1, INT(F87)&gt;30)), $Q$7, ""), "")</f>
        <v xml:space="preserve">  </v>
      </c>
    </row>
    <row r="88" spans="1:14" x14ac:dyDescent="0.2">
      <c r="A88" s="181">
        <v>29</v>
      </c>
      <c r="B88" s="154" t="s">
        <v>12</v>
      </c>
      <c r="C88" s="30"/>
      <c r="D88" s="31"/>
      <c r="E88" s="32"/>
      <c r="F88" s="33"/>
      <c r="G88" s="45"/>
      <c r="H88" s="34"/>
      <c r="I88" s="34"/>
      <c r="J88" s="34"/>
      <c r="K88" s="34"/>
      <c r="L88" s="173" t="str">
        <f>IFERROR('Pistol Troyer'!$J$2*(F88/D88)*(1+IF(G88="X", 0.75, 0) +IF(H88="X", 0.5, 0) + IF(I88="X", 0.25, 0) ), "")</f>
        <v/>
      </c>
      <c r="M88" s="174" t="str">
        <f>IFERROR('Pistol Troyer'!$J$2*(F88/D88)*(1+IF(G88="X", 0.75, 0) +IF(H88="X", 0.5, 0) + IF(I88="X", 0.25, 0) + IF(J88="X", 0.25, 0) + IF(K88="X", 0.25, 0)), "")</f>
        <v/>
      </c>
      <c r="N88" s="175" t="str">
        <f>_xlfn.IFNA(IF(OR(L88&gt;50, OR(OR(VLOOKUP(D88,'Selection Lists'!$A$4:$B$17, 2, FALSE)&lt;1/2, VLOOKUP(D88, 'Selection Lists'!$A$4:$B$17, 2, FALSE)&gt;2)), OR(INT(F88)&lt;10, INT(F88)&gt;35)), $Q$5, ""), "") &amp; " " &amp; _xlfn.IFNA(IF(AND(VLOOKUP(D88, 'Selection Lists'!$A$4:$B$17, 2, FALSE)&lt;1.5, INT(F88)&gt;30), $Q$6, ""), "") &amp; " " &amp; _xlfn.IFNA(IF(AND(OR(G88="X",H88="X"), OR(VLOOKUP(D88, 'Selection Lists'!$A$4:$B$17, 2, FALSE)&lt;1, INT(F88)&gt;30)), $Q$7, ""), "")</f>
        <v xml:space="preserve">  </v>
      </c>
    </row>
    <row r="89" spans="1:14" x14ac:dyDescent="0.2">
      <c r="A89" s="182"/>
      <c r="B89" s="156" t="s">
        <v>13</v>
      </c>
      <c r="C89" s="26"/>
      <c r="D89" s="27"/>
      <c r="E89" s="26"/>
      <c r="F89" s="28"/>
      <c r="G89" s="46"/>
      <c r="H89" s="29"/>
      <c r="I89" s="29"/>
      <c r="J89" s="29"/>
      <c r="K89" s="29"/>
      <c r="L89" s="176" t="str">
        <f>IFERROR('Pistol Troyer'!$J$2*(F89/D89)*(1+IF(G89="X", 0.75, 0) +IF(H89="X", 0.5, 0) + IF(I89="X", 0.25, 0) ), "")</f>
        <v/>
      </c>
      <c r="M89" s="177" t="str">
        <f>IFERROR('Pistol Troyer'!$J$2*(F89/D89)*(1+IF(G89="X", 0.75, 0) +IF(H89="X", 0.5, 0) + IF(I89="X", 0.25, 0) + IF(J89="X", 0.25, 0) + IF(K89="X", 0.25, 0)), "")</f>
        <v/>
      </c>
      <c r="N89" s="175" t="str">
        <f>_xlfn.IFNA(IF(OR(L89&gt;50, OR(OR(VLOOKUP(D89,'Selection Lists'!$A$4:$B$17, 2, FALSE)&lt;1/2, VLOOKUP(D89, 'Selection Lists'!$A$4:$B$17, 2, FALSE)&gt;2)), OR(INT(F89)&lt;10, INT(F89)&gt;35)), $Q$5, ""), "") &amp; " " &amp; _xlfn.IFNA(IF(AND(VLOOKUP(D89, 'Selection Lists'!$A$4:$B$17, 2, FALSE)&lt;1.5, INT(F89)&gt;30), $Q$6, ""), "") &amp; " " &amp; _xlfn.IFNA(IF(AND(OR(G89="X",H89="X"), OR(VLOOKUP(D89, 'Selection Lists'!$A$4:$B$17, 2, FALSE)&lt;1, INT(F89)&gt;30)), $Q$7, ""), "")</f>
        <v xml:space="preserve">  </v>
      </c>
    </row>
    <row r="90" spans="1:14" ht="13.5" thickBot="1" x14ac:dyDescent="0.25">
      <c r="A90" s="183"/>
      <c r="B90" s="158" t="s">
        <v>14</v>
      </c>
      <c r="C90" s="35"/>
      <c r="D90" s="36"/>
      <c r="E90" s="35"/>
      <c r="F90" s="37"/>
      <c r="G90" s="47"/>
      <c r="H90" s="38"/>
      <c r="I90" s="38"/>
      <c r="J90" s="38"/>
      <c r="K90" s="38"/>
      <c r="L90" s="178" t="str">
        <f>IFERROR('Pistol Troyer'!$J$2*(F90/D90)*(1+IF(G90="X", 0.75, 0) +IF(H90="X", 0.5, 0) + IF(I90="X", 0.25, 0) ), "")</f>
        <v/>
      </c>
      <c r="M90" s="179" t="str">
        <f>IFERROR('Pistol Troyer'!$J$2*(F90/D90)*(1+IF(G90="X", 0.75, 0) +IF(H90="X", 0.5, 0) + IF(I90="X", 0.25, 0) + IF(J90="X", 0.25, 0) + IF(K90="X", 0.25, 0)), "")</f>
        <v/>
      </c>
      <c r="N90" s="175" t="str">
        <f>_xlfn.IFNA(IF(OR(L90&gt;50, OR(OR(VLOOKUP(D90,'Selection Lists'!$A$4:$B$17, 2, FALSE)&lt;1/2, VLOOKUP(D90, 'Selection Lists'!$A$4:$B$17, 2, FALSE)&gt;2)), OR(INT(F90)&lt;10, INT(F90)&gt;35)), $Q$5, ""), "") &amp; " " &amp; _xlfn.IFNA(IF(AND(VLOOKUP(D90, 'Selection Lists'!$A$4:$B$17, 2, FALSE)&lt;1.5, INT(F90)&gt;30), $Q$6, ""), "") &amp; " " &amp; _xlfn.IFNA(IF(AND(OR(G90="X",H90="X"), OR(VLOOKUP(D90, 'Selection Lists'!$A$4:$B$17, 2, FALSE)&lt;1, INT(F90)&gt;30)), $Q$7, ""), "")</f>
        <v xml:space="preserve">  </v>
      </c>
    </row>
    <row r="91" spans="1:14" x14ac:dyDescent="0.2">
      <c r="A91" s="181">
        <v>30</v>
      </c>
      <c r="B91" s="154" t="s">
        <v>12</v>
      </c>
      <c r="C91" s="30"/>
      <c r="D91" s="31"/>
      <c r="E91" s="32"/>
      <c r="F91" s="33"/>
      <c r="G91" s="45"/>
      <c r="H91" s="34"/>
      <c r="I91" s="34"/>
      <c r="J91" s="34"/>
      <c r="K91" s="34"/>
      <c r="L91" s="173" t="str">
        <f>IFERROR('Pistol Troyer'!$J$2*(F91/D91)*(1+IF(G91="X", 0.75, 0) +IF(H91="X", 0.5, 0) + IF(I91="X", 0.25, 0) ), "")</f>
        <v/>
      </c>
      <c r="M91" s="174" t="str">
        <f>IFERROR('Pistol Troyer'!$J$2*(F91/D91)*(1+IF(G91="X", 0.75, 0) +IF(H91="X", 0.5, 0) + IF(I91="X", 0.25, 0) + IF(J91="X", 0.25, 0) + IF(K91="X", 0.25, 0)), "")</f>
        <v/>
      </c>
      <c r="N91" s="175" t="str">
        <f>_xlfn.IFNA(IF(OR(L91&gt;50, OR(OR(VLOOKUP(D91,'Selection Lists'!$A$4:$B$17, 2, FALSE)&lt;1/2, VLOOKUP(D91, 'Selection Lists'!$A$4:$B$17, 2, FALSE)&gt;2)), OR(INT(F91)&lt;10, INT(F91)&gt;35)), $Q$5, ""), "") &amp; " " &amp; _xlfn.IFNA(IF(AND(VLOOKUP(D91, 'Selection Lists'!$A$4:$B$17, 2, FALSE)&lt;1.5, INT(F91)&gt;30), $Q$6, ""), "") &amp; " " &amp; _xlfn.IFNA(IF(AND(OR(G91="X",H91="X"), OR(VLOOKUP(D91, 'Selection Lists'!$A$4:$B$17, 2, FALSE)&lt;1, INT(F91)&gt;30)), $Q$7, ""), "")</f>
        <v xml:space="preserve">  </v>
      </c>
    </row>
    <row r="92" spans="1:14" x14ac:dyDescent="0.2">
      <c r="A92" s="182"/>
      <c r="B92" s="156" t="s">
        <v>13</v>
      </c>
      <c r="C92" s="26"/>
      <c r="D92" s="27"/>
      <c r="E92" s="26"/>
      <c r="F92" s="28"/>
      <c r="G92" s="46"/>
      <c r="H92" s="29"/>
      <c r="I92" s="29"/>
      <c r="J92" s="29"/>
      <c r="K92" s="29"/>
      <c r="L92" s="176" t="str">
        <f>IFERROR('Pistol Troyer'!$J$2*(F92/D92)*(1+IF(G92="X", 0.75, 0) +IF(H92="X", 0.5, 0) + IF(I92="X", 0.25, 0) ), "")</f>
        <v/>
      </c>
      <c r="M92" s="177" t="str">
        <f>IFERROR('Pistol Troyer'!$J$2*(F92/D92)*(1+IF(G92="X", 0.75, 0) +IF(H92="X", 0.5, 0) + IF(I92="X", 0.25, 0) + IF(J92="X", 0.25, 0) + IF(K92="X", 0.25, 0)), "")</f>
        <v/>
      </c>
      <c r="N92" s="175" t="str">
        <f>_xlfn.IFNA(IF(OR(L92&gt;50, OR(OR(VLOOKUP(D92,'Selection Lists'!$A$4:$B$17, 2, FALSE)&lt;1/2, VLOOKUP(D92, 'Selection Lists'!$A$4:$B$17, 2, FALSE)&gt;2)), OR(INT(F92)&lt;10, INT(F92)&gt;35)), $Q$5, ""), "") &amp; " " &amp; _xlfn.IFNA(IF(AND(VLOOKUP(D92, 'Selection Lists'!$A$4:$B$17, 2, FALSE)&lt;1.5, INT(F92)&gt;30), $Q$6, ""), "") &amp; " " &amp; _xlfn.IFNA(IF(AND(OR(G92="X",H92="X"), OR(VLOOKUP(D92, 'Selection Lists'!$A$4:$B$17, 2, FALSE)&lt;1, INT(F92)&gt;30)), $Q$7, ""), "")</f>
        <v xml:space="preserve">  </v>
      </c>
    </row>
    <row r="93" spans="1:14" ht="13.5" thickBot="1" x14ac:dyDescent="0.25">
      <c r="A93" s="182"/>
      <c r="B93" s="184" t="s">
        <v>14</v>
      </c>
      <c r="C93" s="41"/>
      <c r="D93" s="42"/>
      <c r="E93" s="41"/>
      <c r="F93" s="43"/>
      <c r="G93" s="48"/>
      <c r="H93" s="44"/>
      <c r="I93" s="44"/>
      <c r="J93" s="44"/>
      <c r="K93" s="44"/>
      <c r="L93" s="178" t="str">
        <f>IFERROR('Pistol Troyer'!$J$2*(F93/D93)*(1+IF(G93="X", 0.75, 0) +IF(H93="X", 0.5, 0) + IF(I93="X", 0.25, 0) ), "")</f>
        <v/>
      </c>
      <c r="M93" s="185" t="str">
        <f>IFERROR('Pistol Troyer'!$J$2*(F93/D93)*(1+IF(G93="X", 0.75, 0) +IF(H93="X", 0.5, 0) + IF(I93="X", 0.25, 0) + IF(J93="X", 0.25, 0) + IF(K93="X", 0.25, 0)), "")</f>
        <v/>
      </c>
      <c r="N93" s="175" t="str">
        <f>_xlfn.IFNA(IF(OR(L93&gt;50, OR(OR(VLOOKUP(D93,'Selection Lists'!$A$4:$B$17, 2, FALSE)&lt;1/2, VLOOKUP(D93, 'Selection Lists'!$A$4:$B$17, 2, FALSE)&gt;2)), OR(INT(F93)&lt;10, INT(F93)&gt;35)), $Q$5, ""), "") &amp; " " &amp; _xlfn.IFNA(IF(AND(VLOOKUP(D93, 'Selection Lists'!$A$4:$B$17, 2, FALSE)&lt;1.5, INT(F93)&gt;30), $Q$6, ""), "") &amp; " " &amp; _xlfn.IFNA(IF(AND(OR(G93="X",H93="X"), OR(VLOOKUP(D93, 'Selection Lists'!$A$4:$B$17, 2, FALSE)&lt;1, INT(F93)&gt;30)), $Q$7, ""), "")</f>
        <v xml:space="preserve">  </v>
      </c>
    </row>
    <row r="94" spans="1:14" ht="12.75" customHeight="1" x14ac:dyDescent="0.2">
      <c r="G94" s="188" t="s">
        <v>74</v>
      </c>
      <c r="H94" s="189"/>
      <c r="I94" s="189"/>
      <c r="J94" s="189"/>
      <c r="K94" s="189"/>
      <c r="L94" s="190"/>
      <c r="M94" s="127">
        <f>COUNTIF(Course1Table8[KZ, in],"&gt;0")</f>
        <v>0</v>
      </c>
      <c r="N94" s="119" t="str">
        <f>IF(0&lt;M94*2&lt;40,$Q$10, "") &amp; " " &amp; IF(M94*2&gt;60, $Q$11, "")</f>
        <v xml:space="preserve"> </v>
      </c>
    </row>
    <row r="95" spans="1:14" ht="12.75" customHeight="1" x14ac:dyDescent="0.2">
      <c r="G95" s="191" t="s">
        <v>75</v>
      </c>
      <c r="H95" s="192"/>
      <c r="I95" s="192"/>
      <c r="J95" s="192"/>
      <c r="K95" s="192"/>
      <c r="L95" s="193"/>
      <c r="M95" s="194" t="str">
        <f>IFERROR(AVERAGE(D4:D93), "")</f>
        <v/>
      </c>
      <c r="N95" s="195"/>
    </row>
    <row r="96" spans="1:14" ht="12.75" customHeight="1" x14ac:dyDescent="0.2">
      <c r="G96" s="191" t="s">
        <v>76</v>
      </c>
      <c r="H96" s="192"/>
      <c r="I96" s="192"/>
      <c r="J96" s="192"/>
      <c r="K96" s="192"/>
      <c r="L96" s="193"/>
      <c r="M96" s="142" t="str">
        <f>IFERROR(AVERAGE(F4:F93), "")</f>
        <v/>
      </c>
      <c r="N96" s="196"/>
    </row>
    <row r="97" spans="7:14" x14ac:dyDescent="0.2">
      <c r="G97" s="191" t="s">
        <v>109</v>
      </c>
      <c r="H97" s="192"/>
      <c r="I97" s="192"/>
      <c r="J97" s="192"/>
      <c r="K97" s="192"/>
      <c r="L97" s="193"/>
      <c r="M97" s="143" t="str">
        <f>IFERROR(_xlfn.STDEV.P(L4:L93), "")</f>
        <v/>
      </c>
      <c r="N97" s="197"/>
    </row>
    <row r="98" spans="7:14" ht="12.75" customHeight="1" x14ac:dyDescent="0.2">
      <c r="G98" s="191" t="s">
        <v>101</v>
      </c>
      <c r="H98" s="192"/>
      <c r="I98" s="192"/>
      <c r="J98" s="192"/>
      <c r="K98" s="192"/>
      <c r="L98" s="193"/>
      <c r="M98" s="143" t="str">
        <f>IFERROR(AVERAGE(L4:L93), "")</f>
        <v/>
      </c>
      <c r="N98" s="119" t="str">
        <f>IF(0&lt;M98&lt;30, $Q$9, "") &amp; " " &amp; IF(M98&gt;36, $Q$8, "")</f>
        <v xml:space="preserve"> ◄Max 36T</v>
      </c>
    </row>
    <row r="99" spans="7:14" ht="12.75" customHeight="1" thickBot="1" x14ac:dyDescent="0.25">
      <c r="G99" s="198" t="s">
        <v>77</v>
      </c>
      <c r="H99" s="199"/>
      <c r="I99" s="199"/>
      <c r="J99" s="199"/>
      <c r="K99" s="199"/>
      <c r="L99" s="200"/>
      <c r="M99" s="145" t="str">
        <f>IFERROR(AVERAGE(M4:M93), "")</f>
        <v/>
      </c>
    </row>
    <row r="100" spans="7:14" ht="12.75" customHeight="1" x14ac:dyDescent="0.2"/>
    <row r="101" spans="7:14" ht="13.5" customHeight="1" x14ac:dyDescent="0.2"/>
    <row r="102" spans="7:14" x14ac:dyDescent="0.2">
      <c r="K102" s="202" t="s">
        <v>15</v>
      </c>
    </row>
  </sheetData>
  <sheetProtection algorithmName="SHA-512" hashValue="nW3JegchoVVpNqUg+n157wPC47Wm/wMlkzg9jr1Ryy44oqCMe42Fd0GbRfeH65yOo4pTFgAC1SV1kfWYDs5p/A==" saltValue="6eyFkzupEgh2b+WVVLYNVQ==" spinCount="100000" sheet="1" objects="1" scenarios="1" selectLockedCells="1"/>
  <mergeCells count="24">
    <mergeCell ref="A1:M1"/>
    <mergeCell ref="A2:M2"/>
    <mergeCell ref="Q4:R4"/>
    <mergeCell ref="S4:AB4"/>
    <mergeCell ref="Q5:R5"/>
    <mergeCell ref="S5:AB5"/>
    <mergeCell ref="Q6:R6"/>
    <mergeCell ref="S6:AB6"/>
    <mergeCell ref="Q7:R7"/>
    <mergeCell ref="S7:AB7"/>
    <mergeCell ref="Q8:R8"/>
    <mergeCell ref="S8:AB8"/>
    <mergeCell ref="Q9:R9"/>
    <mergeCell ref="S9:AB9"/>
    <mergeCell ref="Q10:R10"/>
    <mergeCell ref="S10:AB10"/>
    <mergeCell ref="G94:L94"/>
    <mergeCell ref="Q11:R11"/>
    <mergeCell ref="S11:AB11"/>
    <mergeCell ref="G95:L95"/>
    <mergeCell ref="G96:L96"/>
    <mergeCell ref="G97:L97"/>
    <mergeCell ref="G98:L98"/>
    <mergeCell ref="G99:L99"/>
  </mergeCells>
  <conditionalFormatting sqref="D4:D93">
    <cfRule type="expression" dxfId="120" priority="6" stopIfTrue="1">
      <formula>AND(F4&gt;45, D4&lt;1.5)</formula>
    </cfRule>
  </conditionalFormatting>
  <conditionalFormatting sqref="F4:F93">
    <cfRule type="expression" dxfId="119" priority="7" stopIfTrue="1">
      <formula>AND(NOT(ISBLANK(F4)), OR(F4&lt;10, F4&gt;55))</formula>
    </cfRule>
  </conditionalFormatting>
  <conditionalFormatting sqref="G4:G93">
    <cfRule type="expression" dxfId="118" priority="9">
      <formula>AND(G4 ="X", OR(D4&lt;(3/4), F4&gt;45))</formula>
    </cfRule>
  </conditionalFormatting>
  <conditionalFormatting sqref="H4:H93">
    <cfRule type="expression" dxfId="117" priority="8">
      <formula>AND(H4 ="X", OR(D4&lt;(3/4), F4&gt;45))</formula>
    </cfRule>
  </conditionalFormatting>
  <conditionalFormatting sqref="L4:L93">
    <cfRule type="expression" dxfId="116" priority="5" stopIfTrue="1">
      <formula>AND(ISNUMBER(L4), L4&gt;50)</formula>
    </cfRule>
  </conditionalFormatting>
  <conditionalFormatting sqref="L4:M93">
    <cfRule type="expression" dxfId="115" priority="13" stopIfTrue="1">
      <formula>AND(ISNUMBER(L4), AND(NOT(ISBLANK(L4)), L4&gt;=34, L4&lt;=50))</formula>
    </cfRule>
    <cfRule type="expression" dxfId="114" priority="14" stopIfTrue="1">
      <formula>AND(ISNUMBER(L4), AND(NOT(ISBLANK(L4)), AND(L4&gt;=30, L4&lt;34)))</formula>
    </cfRule>
    <cfRule type="expression" dxfId="113" priority="15" stopIfTrue="1">
      <formula>AND(ISNUMBER(L4), AND(NOT(ISBLANK(L4)), AND(L4&gt;=25, L4&lt;30)))</formula>
    </cfRule>
    <cfRule type="expression" dxfId="112" priority="16" stopIfTrue="1">
      <formula>AND(AND(ISNUMBER(L4),AND(NOT(ISBLANK(L4)),L4&lt;25)))</formula>
    </cfRule>
  </conditionalFormatting>
  <conditionalFormatting sqref="M4:M93">
    <cfRule type="expression" dxfId="111" priority="10" stopIfTrue="1">
      <formula>AND(ISNUMBER(M4), M4&gt;50)</formula>
    </cfRule>
  </conditionalFormatting>
  <conditionalFormatting sqref="M94">
    <cfRule type="expression" dxfId="110" priority="1">
      <formula>OR(0&lt;$M$94*2&lt;40,$M$94*2&gt;60)</formula>
    </cfRule>
  </conditionalFormatting>
  <conditionalFormatting sqref="M98">
    <cfRule type="expression" dxfId="109" priority="11" stopIfTrue="1">
      <formula>OR(M98&gt;36,M98&lt;30)</formula>
    </cfRule>
  </conditionalFormatting>
  <dataValidations count="1">
    <dataValidation operator="equal" allowBlank="1" sqref="C4:C93" xr:uid="{23A85421-96B1-498B-BB03-A7103140C48E}"/>
  </dataValidations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errorTitle="Invalid Value" xr:uid="{A729D64C-598F-4BFC-8B97-8F6E10FB5252}">
          <x14:formula1>
            <xm:f>'Selection Lists'!$A$4:$A$17</xm:f>
          </x14:formula1>
          <xm:sqref>D4:D93</xm:sqref>
        </x14:dataValidation>
        <x14:dataValidation type="list" allowBlank="1" showInputMessage="1" showErrorMessage="1" xr:uid="{7F273F71-6ADD-486D-8290-8A9CBD7B844D}">
          <x14:formula1>
            <xm:f>'Selection Lists'!$D$2:$D$3</xm:f>
          </x14:formula1>
          <xm:sqref>G4:K93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10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8.140625" style="186" customWidth="1"/>
    <col min="2" max="2" width="8" style="119" customWidth="1"/>
    <col min="3" max="3" width="20.85546875" style="180" customWidth="1"/>
    <col min="4" max="4" width="7.5703125" style="180" customWidth="1"/>
    <col min="5" max="5" width="26.140625" style="180" customWidth="1"/>
    <col min="6" max="6" width="10" style="187" customWidth="1"/>
    <col min="7" max="7" width="7.85546875" style="201" customWidth="1"/>
    <col min="8" max="9" width="5.42578125" style="119" customWidth="1"/>
    <col min="10" max="11" width="5.28515625" style="119" customWidth="1"/>
    <col min="12" max="13" width="7.42578125" style="119" bestFit="1" customWidth="1"/>
    <col min="14" max="14" width="27.42578125" style="119" customWidth="1"/>
    <col min="15" max="15" width="8.140625" style="119" bestFit="1" customWidth="1"/>
    <col min="16" max="16" width="10" style="119" bestFit="1" customWidth="1"/>
    <col min="17" max="17" width="12.42578125" style="119" customWidth="1"/>
    <col min="18" max="18" width="14" style="119" customWidth="1"/>
    <col min="19" max="16384" width="9.140625" style="119"/>
  </cols>
  <sheetData>
    <row r="1" spans="1:28" ht="26.25" x14ac:dyDescent="0.2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28" ht="23.25" x14ac:dyDescent="0.2">
      <c r="A2" s="162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28" ht="68.25" thickBot="1" x14ac:dyDescent="0.25">
      <c r="A3" s="165" t="s">
        <v>1</v>
      </c>
      <c r="B3" s="166" t="s">
        <v>2</v>
      </c>
      <c r="C3" s="165" t="s">
        <v>3</v>
      </c>
      <c r="D3" s="165" t="s">
        <v>4</v>
      </c>
      <c r="E3" s="167" t="s">
        <v>5</v>
      </c>
      <c r="F3" s="168" t="s">
        <v>6</v>
      </c>
      <c r="G3" s="169" t="s">
        <v>7</v>
      </c>
      <c r="H3" s="169" t="s">
        <v>8</v>
      </c>
      <c r="I3" s="170" t="s">
        <v>9</v>
      </c>
      <c r="J3" s="170" t="s">
        <v>10</v>
      </c>
      <c r="K3" s="169" t="s">
        <v>11</v>
      </c>
      <c r="L3" s="171" t="s">
        <v>100</v>
      </c>
      <c r="M3" s="172" t="s">
        <v>53</v>
      </c>
      <c r="N3" s="172" t="s">
        <v>85</v>
      </c>
    </row>
    <row r="4" spans="1:28" x14ac:dyDescent="0.2">
      <c r="A4" s="153">
        <v>1</v>
      </c>
      <c r="B4" s="154" t="s">
        <v>12</v>
      </c>
      <c r="C4" s="30"/>
      <c r="D4" s="61"/>
      <c r="E4" s="32"/>
      <c r="F4" s="33"/>
      <c r="G4" s="45"/>
      <c r="H4" s="34"/>
      <c r="I4" s="34"/>
      <c r="J4" s="34"/>
      <c r="K4" s="34"/>
      <c r="L4" s="173" t="str">
        <f>IFERROR((F4/D4)*(1+IF(G4="X", 0.75, 0) +IF(H4="X", 0.5, 0) + IF(I4="X", 0.25, 0) +IF(F4&gt;45, 0.125, 0)), "")</f>
        <v/>
      </c>
      <c r="M4" s="174" t="str">
        <f t="shared" ref="M4:M35" si="0">IFERROR((F4/D4)*(1+IF(G4="X", 0.75, 0) +IF(H4="X", 0.5, 0) + IF(I4="X", 0.25, 0) + IF(J4="X", 0.25, 0) + IF(K4="X", 0.25, 0)+IF(F4&gt;45, 0.125, 0)), "")</f>
        <v/>
      </c>
      <c r="N4" s="175" t="str">
        <f>_xlfn.IFNA(IF(OR(L4&gt;50, OR(OR(VLOOKUP(D4,'Selection Lists'!$A$4:$B$17, 2, FALSE)&lt;3/8, VLOOKUP(D4, 'Selection Lists'!$A$4:$B$17, 2, FALSE)&gt;2)), OR(INT(F4)&lt;10, INT(F4)&gt;55)), $Q$5, ""), "") &amp; " " &amp; _xlfn.IFNA(IF(AND(VLOOKUP(D4, 'Selection Lists'!$A$4:$B$17, 2, FALSE)&lt;1.5, INT(F4)&gt;45), $Q$6, ""), "") &amp; " " &amp; _xlfn.IFNA(IF(AND(OR(G4="X",H4="X"), OR(VLOOKUP(D4, 'Selection Lists'!$A$4:$B$17, 2, FALSE)&lt;0.75, INT(F4)&gt;45)), $Q$7, ""), "")</f>
        <v xml:space="preserve">  </v>
      </c>
      <c r="Q4" s="122" t="s">
        <v>86</v>
      </c>
      <c r="R4" s="123"/>
      <c r="S4" s="124" t="s">
        <v>87</v>
      </c>
      <c r="T4" s="125"/>
      <c r="U4" s="125"/>
      <c r="V4" s="125"/>
      <c r="W4" s="125"/>
      <c r="X4" s="125"/>
      <c r="Y4" s="125"/>
      <c r="Z4" s="125"/>
      <c r="AA4" s="125"/>
      <c r="AB4" s="125"/>
    </row>
    <row r="5" spans="1:28" x14ac:dyDescent="0.2">
      <c r="A5" s="155"/>
      <c r="B5" s="156" t="s">
        <v>73</v>
      </c>
      <c r="C5" s="26"/>
      <c r="D5" s="27"/>
      <c r="E5" s="26"/>
      <c r="F5" s="28"/>
      <c r="G5" s="46"/>
      <c r="H5" s="29"/>
      <c r="I5" s="29"/>
      <c r="J5" s="29"/>
      <c r="K5" s="29"/>
      <c r="L5" s="176" t="str">
        <f t="shared" ref="L5:L68" si="1">IFERROR((F5/D5)*(1+IF(G5="X", 0.75, 0) +IF(H5="X", 0.5, 0) + IF(I5="X", 0.25, 0) +IF(F5&gt;45, 0.125, 0)), "")</f>
        <v/>
      </c>
      <c r="M5" s="177" t="str">
        <f t="shared" si="0"/>
        <v/>
      </c>
      <c r="N5" s="175" t="str">
        <f>_xlfn.IFNA(IF(OR(L5&gt;50, OR(OR(VLOOKUP(D5,'Selection Lists'!$A$4:$B$17, 2, FALSE)&lt;3/8, VLOOKUP(D5, 'Selection Lists'!$A$4:$B$17, 2, FALSE)&gt;2)), OR(INT(F5)&lt;10, INT(F5)&gt;55)), $Q$5, ""), "") &amp; " " &amp; _xlfn.IFNA(IF(AND(VLOOKUP(D5, 'Selection Lists'!$A$4:$B$17, 2, FALSE)&lt;1.5, INT(F5)&gt;45), $Q$6, ""), "") &amp; " " &amp; _xlfn.IFNA(IF(AND(OR(G5="X",H5="X"), OR(VLOOKUP(D5, 'Selection Lists'!$A$4:$B$17, 2, FALSE)&lt;0.75, INT(F5)&gt;45)), $Q$7, ""), "")</f>
        <v xml:space="preserve">  </v>
      </c>
      <c r="Q5" s="131" t="s">
        <v>88</v>
      </c>
      <c r="R5" s="132"/>
      <c r="S5" s="133" t="s">
        <v>89</v>
      </c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13.5" thickBot="1" x14ac:dyDescent="0.25">
      <c r="A6" s="157"/>
      <c r="B6" s="158" t="s">
        <v>14</v>
      </c>
      <c r="C6" s="35"/>
      <c r="D6" s="36"/>
      <c r="E6" s="35"/>
      <c r="F6" s="37"/>
      <c r="G6" s="47"/>
      <c r="H6" s="38"/>
      <c r="I6" s="38"/>
      <c r="J6" s="38"/>
      <c r="K6" s="38"/>
      <c r="L6" s="178" t="str">
        <f t="shared" si="1"/>
        <v/>
      </c>
      <c r="M6" s="179" t="str">
        <f t="shared" si="0"/>
        <v/>
      </c>
      <c r="N6" s="175" t="str">
        <f>_xlfn.IFNA(IF(OR(L6&gt;50, OR(OR(VLOOKUP(D6,'Selection Lists'!$A$4:$B$17, 2, FALSE)&lt;3/8, VLOOKUP(D6, 'Selection Lists'!$A$4:$B$17, 2, FALSE)&gt;2)), OR(INT(F6)&lt;10, INT(F6)&gt;55)), $Q$5, ""), "") &amp; " " &amp; _xlfn.IFNA(IF(AND(VLOOKUP(D6, 'Selection Lists'!$A$4:$B$17, 2, FALSE)&lt;1.5, INT(F6)&gt;45), $Q$6, ""), "") &amp; " " &amp; _xlfn.IFNA(IF(AND(OR(G6="X",H6="X"), OR(VLOOKUP(D6, 'Selection Lists'!$A$4:$B$17, 2, FALSE)&lt;0.75, INT(F6)&gt;45)), $Q$7, ""), "")</f>
        <v xml:space="preserve">  </v>
      </c>
      <c r="Q6" s="131" t="s">
        <v>90</v>
      </c>
      <c r="R6" s="132"/>
      <c r="S6" s="133" t="s">
        <v>91</v>
      </c>
      <c r="T6" s="134"/>
      <c r="U6" s="134"/>
      <c r="V6" s="134"/>
      <c r="W6" s="134"/>
      <c r="X6" s="134"/>
      <c r="Y6" s="134"/>
      <c r="Z6" s="134"/>
      <c r="AA6" s="134"/>
      <c r="AB6" s="134"/>
    </row>
    <row r="7" spans="1:28" x14ac:dyDescent="0.2">
      <c r="A7" s="153">
        <v>2</v>
      </c>
      <c r="B7" s="154" t="s">
        <v>12</v>
      </c>
      <c r="C7" s="30"/>
      <c r="D7" s="31"/>
      <c r="E7" s="32"/>
      <c r="F7" s="33"/>
      <c r="G7" s="45"/>
      <c r="H7" s="34"/>
      <c r="I7" s="34"/>
      <c r="J7" s="34"/>
      <c r="K7" s="34"/>
      <c r="L7" s="173" t="str">
        <f t="shared" si="1"/>
        <v/>
      </c>
      <c r="M7" s="174" t="str">
        <f t="shared" si="0"/>
        <v/>
      </c>
      <c r="N7" s="175" t="str">
        <f>_xlfn.IFNA(IF(OR(L7&gt;50, OR(OR(VLOOKUP(D7,'Selection Lists'!$A$4:$B$17, 2, FALSE)&lt;3/8, VLOOKUP(D7, 'Selection Lists'!$A$4:$B$17, 2, FALSE)&gt;2)), OR(INT(F7)&lt;10, INT(F7)&gt;55)), $Q$5, ""), "") &amp; " " &amp; _xlfn.IFNA(IF(AND(VLOOKUP(D7, 'Selection Lists'!$A$4:$B$17, 2, FALSE)&lt;1.5, INT(F7)&gt;45), $Q$6, ""), "") &amp; " " &amp; _xlfn.IFNA(IF(AND(OR(G7="X",H7="X"), OR(VLOOKUP(D7, 'Selection Lists'!$A$4:$B$17, 2, FALSE)&lt;0.75, INT(F7)&gt;45)), $Q$7, ""), "")</f>
        <v xml:space="preserve">  </v>
      </c>
      <c r="Q7" s="131" t="s">
        <v>92</v>
      </c>
      <c r="R7" s="132"/>
      <c r="S7" s="133" t="s">
        <v>93</v>
      </c>
      <c r="T7" s="134"/>
      <c r="U7" s="134"/>
      <c r="V7" s="134"/>
      <c r="W7" s="134"/>
      <c r="X7" s="134"/>
      <c r="Y7" s="134"/>
      <c r="Z7" s="134"/>
      <c r="AA7" s="134"/>
      <c r="AB7" s="134"/>
    </row>
    <row r="8" spans="1:28" x14ac:dyDescent="0.2">
      <c r="A8" s="155"/>
      <c r="B8" s="156" t="s">
        <v>13</v>
      </c>
      <c r="C8" s="26"/>
      <c r="D8" s="27"/>
      <c r="E8" s="26"/>
      <c r="F8" s="28"/>
      <c r="G8" s="46"/>
      <c r="H8" s="29"/>
      <c r="I8" s="29"/>
      <c r="J8" s="29"/>
      <c r="K8" s="29"/>
      <c r="L8" s="176" t="str">
        <f t="shared" si="1"/>
        <v/>
      </c>
      <c r="M8" s="177" t="str">
        <f t="shared" si="0"/>
        <v/>
      </c>
      <c r="N8" s="175" t="str">
        <f>_xlfn.IFNA(IF(OR(L8&gt;50, OR(OR(VLOOKUP(D8,'Selection Lists'!$A$4:$B$17, 2, FALSE)&lt;3/8, VLOOKUP(D8, 'Selection Lists'!$A$4:$B$17, 2, FALSE)&gt;2)), OR(INT(F8)&lt;10, INT(F8)&gt;55)), $Q$5, ""), "") &amp; " " &amp; _xlfn.IFNA(IF(AND(VLOOKUP(D8, 'Selection Lists'!$A$4:$B$17, 2, FALSE)&lt;1.5, INT(F8)&gt;45), $Q$6, ""), "") &amp; " " &amp; _xlfn.IFNA(IF(AND(OR(G8="X",H8="X"), OR(VLOOKUP(D8, 'Selection Lists'!$A$4:$B$17, 2, FALSE)&lt;0.75, INT(F8)&gt;45)), $Q$7, ""), "")</f>
        <v xml:space="preserve">  </v>
      </c>
      <c r="Q8" s="131" t="s">
        <v>94</v>
      </c>
      <c r="R8" s="132"/>
      <c r="S8" s="133" t="s">
        <v>95</v>
      </c>
      <c r="T8" s="134"/>
      <c r="U8" s="134"/>
      <c r="V8" s="134"/>
      <c r="W8" s="134"/>
      <c r="X8" s="134"/>
      <c r="Y8" s="134"/>
      <c r="Z8" s="134"/>
      <c r="AA8" s="134"/>
      <c r="AB8" s="134"/>
    </row>
    <row r="9" spans="1:28" ht="13.5" thickBot="1" x14ac:dyDescent="0.25">
      <c r="A9" s="157"/>
      <c r="B9" s="158" t="s">
        <v>14</v>
      </c>
      <c r="C9" s="35"/>
      <c r="D9" s="36"/>
      <c r="E9" s="35"/>
      <c r="F9" s="37"/>
      <c r="G9" s="47"/>
      <c r="H9" s="38"/>
      <c r="I9" s="38"/>
      <c r="J9" s="38"/>
      <c r="K9" s="38"/>
      <c r="L9" s="178" t="str">
        <f t="shared" si="1"/>
        <v/>
      </c>
      <c r="M9" s="179" t="str">
        <f t="shared" si="0"/>
        <v/>
      </c>
      <c r="N9" s="175" t="str">
        <f>_xlfn.IFNA(IF(OR(L9&gt;50, OR(OR(VLOOKUP(D9,'Selection Lists'!$A$4:$B$17, 2, FALSE)&lt;3/8, VLOOKUP(D9, 'Selection Lists'!$A$4:$B$17, 2, FALSE)&gt;2)), OR(INT(F9)&lt;10, INT(F9)&gt;55)), $Q$5, ""), "") &amp; " " &amp; _xlfn.IFNA(IF(AND(VLOOKUP(D9, 'Selection Lists'!$A$4:$B$17, 2, FALSE)&lt;1.5, INT(F9)&gt;45), $Q$6, ""), "") &amp; " " &amp; _xlfn.IFNA(IF(AND(OR(G9="X",H9="X"), OR(VLOOKUP(D9, 'Selection Lists'!$A$4:$B$17, 2, FALSE)&lt;0.75, INT(F9)&gt;45)), $Q$7, ""), "")</f>
        <v xml:space="preserve">  </v>
      </c>
      <c r="Q9" s="131" t="s">
        <v>96</v>
      </c>
      <c r="R9" s="132"/>
      <c r="S9" s="133" t="s">
        <v>97</v>
      </c>
      <c r="T9" s="134"/>
      <c r="U9" s="134"/>
      <c r="V9" s="134"/>
      <c r="W9" s="134"/>
      <c r="X9" s="134"/>
      <c r="Y9" s="134"/>
      <c r="Z9" s="134"/>
      <c r="AA9" s="134"/>
      <c r="AB9" s="134"/>
    </row>
    <row r="10" spans="1:28" x14ac:dyDescent="0.2">
      <c r="A10" s="153">
        <v>3</v>
      </c>
      <c r="B10" s="154" t="s">
        <v>12</v>
      </c>
      <c r="C10" s="30"/>
      <c r="D10" s="31"/>
      <c r="E10" s="32"/>
      <c r="F10" s="33"/>
      <c r="G10" s="45"/>
      <c r="H10" s="34"/>
      <c r="I10" s="34"/>
      <c r="J10" s="34"/>
      <c r="K10" s="34"/>
      <c r="L10" s="173" t="str">
        <f t="shared" si="1"/>
        <v/>
      </c>
      <c r="M10" s="174" t="str">
        <f t="shared" si="0"/>
        <v/>
      </c>
      <c r="N10" s="175" t="str">
        <f>_xlfn.IFNA(IF(OR(L10&gt;50, OR(OR(VLOOKUP(D10,'Selection Lists'!$A$4:$B$17, 2, FALSE)&lt;3/8, VLOOKUP(D10, 'Selection Lists'!$A$4:$B$17, 2, FALSE)&gt;2)), OR(INT(F10)&lt;10, INT(F10)&gt;55)), $Q$5, ""), "") &amp; " " &amp; _xlfn.IFNA(IF(AND(VLOOKUP(D10, 'Selection Lists'!$A$4:$B$17, 2, FALSE)&lt;1.5, INT(F10)&gt;45), $Q$6, ""), "") &amp; " " &amp; _xlfn.IFNA(IF(AND(OR(G10="X",H10="X"), OR(VLOOKUP(D10, 'Selection Lists'!$A$4:$B$17, 2, FALSE)&lt;0.75, INT(F10)&gt;45)), $Q$7, ""), "")</f>
        <v xml:space="preserve">  </v>
      </c>
      <c r="Q10" s="131" t="s">
        <v>98</v>
      </c>
      <c r="R10" s="132"/>
      <c r="S10" s="133" t="s">
        <v>99</v>
      </c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 x14ac:dyDescent="0.2">
      <c r="A11" s="155"/>
      <c r="B11" s="156" t="s">
        <v>13</v>
      </c>
      <c r="C11" s="26"/>
      <c r="D11" s="27"/>
      <c r="E11" s="26"/>
      <c r="F11" s="28"/>
      <c r="G11" s="46"/>
      <c r="H11" s="29"/>
      <c r="I11" s="29"/>
      <c r="J11" s="29"/>
      <c r="K11" s="29"/>
      <c r="L11" s="176" t="str">
        <f t="shared" si="1"/>
        <v/>
      </c>
      <c r="M11" s="177" t="str">
        <f t="shared" si="0"/>
        <v/>
      </c>
      <c r="N11" s="175" t="str">
        <f>_xlfn.IFNA(IF(OR(L11&gt;50, OR(OR(VLOOKUP(D11,'Selection Lists'!$A$4:$B$17, 2, FALSE)&lt;3/8, VLOOKUP(D11, 'Selection Lists'!$A$4:$B$17, 2, FALSE)&gt;2)), OR(INT(F11)&lt;10, INT(F11)&gt;55)), $Q$5, ""), "") &amp; " " &amp; _xlfn.IFNA(IF(AND(VLOOKUP(D11, 'Selection Lists'!$A$4:$B$17, 2, FALSE)&lt;1.5, INT(F11)&gt;45), $Q$6, ""), "") &amp; " " &amp; _xlfn.IFNA(IF(AND(OR(G11="X",H11="X"), OR(VLOOKUP(D11, 'Selection Lists'!$A$4:$B$17, 2, FALSE)&lt;0.75, INT(F11)&gt;45)), $Q$7, ""), "")</f>
        <v xml:space="preserve">  </v>
      </c>
      <c r="Q11" s="131" t="s">
        <v>113</v>
      </c>
      <c r="R11" s="132"/>
      <c r="S11" s="133" t="s">
        <v>111</v>
      </c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3.5" thickBot="1" x14ac:dyDescent="0.25">
      <c r="A12" s="157"/>
      <c r="B12" s="158" t="s">
        <v>14</v>
      </c>
      <c r="C12" s="35"/>
      <c r="D12" s="36"/>
      <c r="E12" s="35"/>
      <c r="F12" s="37"/>
      <c r="G12" s="47"/>
      <c r="H12" s="38"/>
      <c r="I12" s="38"/>
      <c r="J12" s="38"/>
      <c r="K12" s="38"/>
      <c r="L12" s="178" t="str">
        <f t="shared" si="1"/>
        <v/>
      </c>
      <c r="M12" s="179" t="str">
        <f t="shared" si="0"/>
        <v/>
      </c>
      <c r="N12" s="175" t="str">
        <f>_xlfn.IFNA(IF(OR(L12&gt;50, OR(OR(VLOOKUP(D12,'Selection Lists'!$A$4:$B$17, 2, FALSE)&lt;3/8, VLOOKUP(D12, 'Selection Lists'!$A$4:$B$17, 2, FALSE)&gt;2)), OR(INT(F12)&lt;10, INT(F12)&gt;55)), $Q$5, ""), "") &amp; " " &amp; _xlfn.IFNA(IF(AND(VLOOKUP(D12, 'Selection Lists'!$A$4:$B$17, 2, FALSE)&lt;1.5, INT(F12)&gt;45), $Q$6, ""), "") &amp; " " &amp; _xlfn.IFNA(IF(AND(OR(G12="X",H12="X"), OR(VLOOKUP(D12, 'Selection Lists'!$A$4:$B$17, 2, FALSE)&lt;0.75, INT(F12)&gt;45)), $Q$7, ""), "")</f>
        <v xml:space="preserve">  </v>
      </c>
    </row>
    <row r="13" spans="1:28" x14ac:dyDescent="0.2">
      <c r="A13" s="153">
        <v>4</v>
      </c>
      <c r="B13" s="154" t="s">
        <v>12</v>
      </c>
      <c r="C13" s="30"/>
      <c r="D13" s="31"/>
      <c r="E13" s="32"/>
      <c r="F13" s="33"/>
      <c r="G13" s="45"/>
      <c r="H13" s="34"/>
      <c r="I13" s="34"/>
      <c r="J13" s="34"/>
      <c r="K13" s="34"/>
      <c r="L13" s="173" t="str">
        <f t="shared" si="1"/>
        <v/>
      </c>
      <c r="M13" s="174" t="str">
        <f t="shared" si="0"/>
        <v/>
      </c>
      <c r="N13" s="175" t="str">
        <f>_xlfn.IFNA(IF(OR(L13&gt;50, OR(OR(VLOOKUP(D13,'Selection Lists'!$A$4:$B$17, 2, FALSE)&lt;3/8, VLOOKUP(D13, 'Selection Lists'!$A$4:$B$17, 2, FALSE)&gt;2)), OR(INT(F13)&lt;10, INT(F13)&gt;55)), $Q$5, ""), "") &amp; " " &amp; _xlfn.IFNA(IF(AND(VLOOKUP(D13, 'Selection Lists'!$A$4:$B$17, 2, FALSE)&lt;1.5, INT(F13)&gt;45), $Q$6, ""), "") &amp; " " &amp; _xlfn.IFNA(IF(AND(OR(G13="X",H13="X"), OR(VLOOKUP(D13, 'Selection Lists'!$A$4:$B$17, 2, FALSE)&lt;0.75, INT(F13)&gt;45)), $Q$7, ""), "")</f>
        <v xml:space="preserve">  </v>
      </c>
    </row>
    <row r="14" spans="1:28" x14ac:dyDescent="0.2">
      <c r="A14" s="155"/>
      <c r="B14" s="156" t="s">
        <v>13</v>
      </c>
      <c r="C14" s="26"/>
      <c r="D14" s="27"/>
      <c r="E14" s="26"/>
      <c r="F14" s="28"/>
      <c r="G14" s="46"/>
      <c r="H14" s="29"/>
      <c r="I14" s="29"/>
      <c r="J14" s="29"/>
      <c r="K14" s="29"/>
      <c r="L14" s="176" t="str">
        <f t="shared" si="1"/>
        <v/>
      </c>
      <c r="M14" s="177" t="str">
        <f t="shared" si="0"/>
        <v/>
      </c>
      <c r="N14" s="175" t="str">
        <f>_xlfn.IFNA(IF(OR(L14&gt;50, OR(OR(VLOOKUP(D14,'Selection Lists'!$A$4:$B$17, 2, FALSE)&lt;3/8, VLOOKUP(D14, 'Selection Lists'!$A$4:$B$17, 2, FALSE)&gt;2)), OR(INT(F14)&lt;10, INT(F14)&gt;55)), $Q$5, ""), "") &amp; " " &amp; _xlfn.IFNA(IF(AND(VLOOKUP(D14, 'Selection Lists'!$A$4:$B$17, 2, FALSE)&lt;1.5, INT(F14)&gt;45), $Q$6, ""), "") &amp; " " &amp; _xlfn.IFNA(IF(AND(OR(G14="X",H14="X"), OR(VLOOKUP(D14, 'Selection Lists'!$A$4:$B$17, 2, FALSE)&lt;0.75, INT(F14)&gt;45)), $Q$7, ""), "")</f>
        <v xml:space="preserve">  </v>
      </c>
    </row>
    <row r="15" spans="1:28" ht="13.5" thickBot="1" x14ac:dyDescent="0.25">
      <c r="A15" s="157"/>
      <c r="B15" s="158" t="s">
        <v>14</v>
      </c>
      <c r="C15" s="35"/>
      <c r="D15" s="36"/>
      <c r="E15" s="35"/>
      <c r="F15" s="37"/>
      <c r="G15" s="47"/>
      <c r="H15" s="38"/>
      <c r="I15" s="38"/>
      <c r="J15" s="38"/>
      <c r="K15" s="38"/>
      <c r="L15" s="178" t="str">
        <f t="shared" si="1"/>
        <v/>
      </c>
      <c r="M15" s="179" t="str">
        <f t="shared" si="0"/>
        <v/>
      </c>
      <c r="N15" s="175" t="str">
        <f>_xlfn.IFNA(IF(OR(L15&gt;50, OR(OR(VLOOKUP(D15,'Selection Lists'!$A$4:$B$17, 2, FALSE)&lt;3/8, VLOOKUP(D15, 'Selection Lists'!$A$4:$B$17, 2, FALSE)&gt;2)), OR(INT(F15)&lt;10, INT(F15)&gt;55)), $Q$5, ""), "") &amp; " " &amp; _xlfn.IFNA(IF(AND(VLOOKUP(D15, 'Selection Lists'!$A$4:$B$17, 2, FALSE)&lt;1.5, INT(F15)&gt;45), $Q$6, ""), "") &amp; " " &amp; _xlfn.IFNA(IF(AND(OR(G15="X",H15="X"), OR(VLOOKUP(D15, 'Selection Lists'!$A$4:$B$17, 2, FALSE)&lt;0.75, INT(F15)&gt;45)), $Q$7, ""), "")</f>
        <v xml:space="preserve">  </v>
      </c>
    </row>
    <row r="16" spans="1:28" x14ac:dyDescent="0.2">
      <c r="A16" s="153">
        <v>5</v>
      </c>
      <c r="B16" s="154" t="s">
        <v>12</v>
      </c>
      <c r="C16" s="30"/>
      <c r="D16" s="31"/>
      <c r="E16" s="32"/>
      <c r="F16" s="33"/>
      <c r="G16" s="45"/>
      <c r="H16" s="34"/>
      <c r="I16" s="34"/>
      <c r="J16" s="34"/>
      <c r="K16" s="34"/>
      <c r="L16" s="173" t="str">
        <f t="shared" si="1"/>
        <v/>
      </c>
      <c r="M16" s="174" t="str">
        <f t="shared" si="0"/>
        <v/>
      </c>
      <c r="N16" s="175" t="str">
        <f>_xlfn.IFNA(IF(OR(L16&gt;50, OR(OR(VLOOKUP(D16,'Selection Lists'!$A$4:$B$17, 2, FALSE)&lt;3/8, VLOOKUP(D16, 'Selection Lists'!$A$4:$B$17, 2, FALSE)&gt;2)), OR(INT(F16)&lt;10, INT(F16)&gt;55)), $Q$5, ""), "") &amp; " " &amp; _xlfn.IFNA(IF(AND(VLOOKUP(D16, 'Selection Lists'!$A$4:$B$17, 2, FALSE)&lt;1.5, INT(F16)&gt;45), $Q$6, ""), "") &amp; " " &amp; _xlfn.IFNA(IF(AND(OR(G16="X",H16="X"), OR(VLOOKUP(D16, 'Selection Lists'!$A$4:$B$17, 2, FALSE)&lt;0.75, INT(F16)&gt;45)), $Q$7, ""), "")</f>
        <v xml:space="preserve">  </v>
      </c>
    </row>
    <row r="17" spans="1:16" x14ac:dyDescent="0.2">
      <c r="A17" s="155"/>
      <c r="B17" s="156" t="s">
        <v>13</v>
      </c>
      <c r="C17" s="26"/>
      <c r="D17" s="27"/>
      <c r="E17" s="26"/>
      <c r="F17" s="28"/>
      <c r="G17" s="46"/>
      <c r="H17" s="29"/>
      <c r="I17" s="29"/>
      <c r="J17" s="29"/>
      <c r="K17" s="29"/>
      <c r="L17" s="176" t="str">
        <f t="shared" si="1"/>
        <v/>
      </c>
      <c r="M17" s="177" t="str">
        <f t="shared" si="0"/>
        <v/>
      </c>
      <c r="N17" s="175" t="str">
        <f>_xlfn.IFNA(IF(OR(L17&gt;50, OR(OR(VLOOKUP(D17,'Selection Lists'!$A$4:$B$17, 2, FALSE)&lt;3/8, VLOOKUP(D17, 'Selection Lists'!$A$4:$B$17, 2, FALSE)&gt;2)), OR(INT(F17)&lt;10, INT(F17)&gt;55)), $Q$5, ""), "") &amp; " " &amp; _xlfn.IFNA(IF(AND(VLOOKUP(D17, 'Selection Lists'!$A$4:$B$17, 2, FALSE)&lt;1.5, INT(F17)&gt;45), $Q$6, ""), "") &amp; " " &amp; _xlfn.IFNA(IF(AND(OR(G17="X",H17="X"), OR(VLOOKUP(D17, 'Selection Lists'!$A$4:$B$17, 2, FALSE)&lt;0.75, INT(F17)&gt;45)), $Q$7, ""), "")</f>
        <v xml:space="preserve">  </v>
      </c>
    </row>
    <row r="18" spans="1:16" ht="13.5" thickBot="1" x14ac:dyDescent="0.25">
      <c r="A18" s="157"/>
      <c r="B18" s="158" t="s">
        <v>14</v>
      </c>
      <c r="C18" s="35"/>
      <c r="D18" s="36"/>
      <c r="E18" s="35"/>
      <c r="F18" s="37"/>
      <c r="G18" s="47"/>
      <c r="H18" s="38"/>
      <c r="I18" s="38"/>
      <c r="J18" s="38"/>
      <c r="K18" s="38"/>
      <c r="L18" s="178" t="str">
        <f t="shared" si="1"/>
        <v/>
      </c>
      <c r="M18" s="179" t="str">
        <f t="shared" si="0"/>
        <v/>
      </c>
      <c r="N18" s="175" t="str">
        <f>_xlfn.IFNA(IF(OR(L18&gt;50, OR(OR(VLOOKUP(D18,'Selection Lists'!$A$4:$B$17, 2, FALSE)&lt;3/8, VLOOKUP(D18, 'Selection Lists'!$A$4:$B$17, 2, FALSE)&gt;2)), OR(INT(F18)&lt;10, INT(F18)&gt;55)), $Q$5, ""), "") &amp; " " &amp; _xlfn.IFNA(IF(AND(VLOOKUP(D18, 'Selection Lists'!$A$4:$B$17, 2, FALSE)&lt;1.5, INT(F18)&gt;45), $Q$6, ""), "") &amp; " " &amp; _xlfn.IFNA(IF(AND(OR(G18="X",H18="X"), OR(VLOOKUP(D18, 'Selection Lists'!$A$4:$B$17, 2, FALSE)&lt;0.75, INT(F18)&gt;45)), $Q$7, ""), "")</f>
        <v xml:space="preserve">  </v>
      </c>
    </row>
    <row r="19" spans="1:16" x14ac:dyDescent="0.2">
      <c r="A19" s="153">
        <v>6</v>
      </c>
      <c r="B19" s="154" t="s">
        <v>12</v>
      </c>
      <c r="C19" s="30"/>
      <c r="D19" s="31"/>
      <c r="E19" s="32"/>
      <c r="F19" s="33"/>
      <c r="G19" s="45"/>
      <c r="H19" s="34"/>
      <c r="I19" s="34"/>
      <c r="J19" s="34"/>
      <c r="K19" s="34"/>
      <c r="L19" s="173" t="str">
        <f t="shared" si="1"/>
        <v/>
      </c>
      <c r="M19" s="174" t="str">
        <f t="shared" si="0"/>
        <v/>
      </c>
      <c r="N19" s="175" t="str">
        <f>_xlfn.IFNA(IF(OR(L19&gt;50, OR(OR(VLOOKUP(D19,'Selection Lists'!$A$4:$B$17, 2, FALSE)&lt;3/8, VLOOKUP(D19, 'Selection Lists'!$A$4:$B$17, 2, FALSE)&gt;2)), OR(INT(F19)&lt;10, INT(F19)&gt;55)), $Q$5, ""), "") &amp; " " &amp; _xlfn.IFNA(IF(AND(VLOOKUP(D19, 'Selection Lists'!$A$4:$B$17, 2, FALSE)&lt;1.5, INT(F19)&gt;45), $Q$6, ""), "") &amp; " " &amp; _xlfn.IFNA(IF(AND(OR(G19="X",H19="X"), OR(VLOOKUP(D19, 'Selection Lists'!$A$4:$B$17, 2, FALSE)&lt;0.75, INT(F19)&gt;45)), $Q$7, ""), "")</f>
        <v xml:space="preserve">  </v>
      </c>
    </row>
    <row r="20" spans="1:16" x14ac:dyDescent="0.2">
      <c r="A20" s="155"/>
      <c r="B20" s="156" t="s">
        <v>13</v>
      </c>
      <c r="C20" s="26"/>
      <c r="D20" s="27"/>
      <c r="E20" s="26"/>
      <c r="F20" s="28"/>
      <c r="G20" s="46"/>
      <c r="H20" s="29"/>
      <c r="I20" s="29"/>
      <c r="J20" s="29"/>
      <c r="K20" s="29"/>
      <c r="L20" s="176" t="str">
        <f t="shared" si="1"/>
        <v/>
      </c>
      <c r="M20" s="177" t="str">
        <f t="shared" si="0"/>
        <v/>
      </c>
      <c r="N20" s="175" t="str">
        <f>_xlfn.IFNA(IF(OR(L20&gt;50, OR(OR(VLOOKUP(D20,'Selection Lists'!$A$4:$B$17, 2, FALSE)&lt;3/8, VLOOKUP(D20, 'Selection Lists'!$A$4:$B$17, 2, FALSE)&gt;2)), OR(INT(F20)&lt;10, INT(F20)&gt;55)), $Q$5, ""), "") &amp; " " &amp; _xlfn.IFNA(IF(AND(VLOOKUP(D20, 'Selection Lists'!$A$4:$B$17, 2, FALSE)&lt;1.5, INT(F20)&gt;45), $Q$6, ""), "") &amp; " " &amp; _xlfn.IFNA(IF(AND(OR(G20="X",H20="X"), OR(VLOOKUP(D20, 'Selection Lists'!$A$4:$B$17, 2, FALSE)&lt;0.75, INT(F20)&gt;45)), $Q$7, ""), "")</f>
        <v xml:space="preserve">  </v>
      </c>
    </row>
    <row r="21" spans="1:16" ht="13.5" thickBot="1" x14ac:dyDescent="0.25">
      <c r="A21" s="157"/>
      <c r="B21" s="158" t="s">
        <v>14</v>
      </c>
      <c r="C21" s="35"/>
      <c r="D21" s="36"/>
      <c r="E21" s="35"/>
      <c r="F21" s="37"/>
      <c r="G21" s="47"/>
      <c r="H21" s="38"/>
      <c r="I21" s="38"/>
      <c r="J21" s="38"/>
      <c r="K21" s="38"/>
      <c r="L21" s="178" t="str">
        <f t="shared" si="1"/>
        <v/>
      </c>
      <c r="M21" s="179" t="str">
        <f t="shared" si="0"/>
        <v/>
      </c>
      <c r="N21" s="175" t="str">
        <f>_xlfn.IFNA(IF(OR(L21&gt;50, OR(OR(VLOOKUP(D21,'Selection Lists'!$A$4:$B$17, 2, FALSE)&lt;3/8, VLOOKUP(D21, 'Selection Lists'!$A$4:$B$17, 2, FALSE)&gt;2)), OR(INT(F21)&lt;10, INT(F21)&gt;55)), $Q$5, ""), "") &amp; " " &amp; _xlfn.IFNA(IF(AND(VLOOKUP(D21, 'Selection Lists'!$A$4:$B$17, 2, FALSE)&lt;1.5, INT(F21)&gt;45), $Q$6, ""), "") &amp; " " &amp; _xlfn.IFNA(IF(AND(OR(G21="X",H21="X"), OR(VLOOKUP(D21, 'Selection Lists'!$A$4:$B$17, 2, FALSE)&lt;0.75, INT(F21)&gt;45)), $Q$7, ""), "")</f>
        <v xml:space="preserve">  </v>
      </c>
      <c r="P21" s="180"/>
    </row>
    <row r="22" spans="1:16" x14ac:dyDescent="0.2">
      <c r="A22" s="153">
        <v>7</v>
      </c>
      <c r="B22" s="154" t="s">
        <v>12</v>
      </c>
      <c r="C22" s="30"/>
      <c r="D22" s="31"/>
      <c r="E22" s="32"/>
      <c r="F22" s="33"/>
      <c r="G22" s="45"/>
      <c r="H22" s="34"/>
      <c r="I22" s="34"/>
      <c r="J22" s="34"/>
      <c r="K22" s="34"/>
      <c r="L22" s="173" t="str">
        <f t="shared" si="1"/>
        <v/>
      </c>
      <c r="M22" s="174" t="str">
        <f t="shared" si="0"/>
        <v/>
      </c>
      <c r="N22" s="175" t="str">
        <f>_xlfn.IFNA(IF(OR(L22&gt;50, OR(OR(VLOOKUP(D22,'Selection Lists'!$A$4:$B$17, 2, FALSE)&lt;3/8, VLOOKUP(D22, 'Selection Lists'!$A$4:$B$17, 2, FALSE)&gt;2)), OR(INT(F22)&lt;10, INT(F22)&gt;55)), $Q$5, ""), "") &amp; " " &amp; _xlfn.IFNA(IF(AND(VLOOKUP(D22, 'Selection Lists'!$A$4:$B$17, 2, FALSE)&lt;1.5, INT(F22)&gt;45), $Q$6, ""), "") &amp; " " &amp; _xlfn.IFNA(IF(AND(OR(G22="X",H22="X"), OR(VLOOKUP(D22, 'Selection Lists'!$A$4:$B$17, 2, FALSE)&lt;0.75, INT(F22)&gt;45)), $Q$7, ""), "")</f>
        <v xml:space="preserve">  </v>
      </c>
    </row>
    <row r="23" spans="1:16" x14ac:dyDescent="0.2">
      <c r="A23" s="155"/>
      <c r="B23" s="156" t="s">
        <v>13</v>
      </c>
      <c r="C23" s="26"/>
      <c r="D23" s="27"/>
      <c r="E23" s="26"/>
      <c r="F23" s="28"/>
      <c r="G23" s="46"/>
      <c r="H23" s="29"/>
      <c r="I23" s="29"/>
      <c r="J23" s="29"/>
      <c r="K23" s="29"/>
      <c r="L23" s="176" t="str">
        <f t="shared" si="1"/>
        <v/>
      </c>
      <c r="M23" s="177" t="str">
        <f t="shared" si="0"/>
        <v/>
      </c>
      <c r="N23" s="175" t="str">
        <f>_xlfn.IFNA(IF(OR(L23&gt;50, OR(OR(VLOOKUP(D23,'Selection Lists'!$A$4:$B$17, 2, FALSE)&lt;3/8, VLOOKUP(D23, 'Selection Lists'!$A$4:$B$17, 2, FALSE)&gt;2)), OR(INT(F23)&lt;10, INT(F23)&gt;55)), $Q$5, ""), "") &amp; " " &amp; _xlfn.IFNA(IF(AND(VLOOKUP(D23, 'Selection Lists'!$A$4:$B$17, 2, FALSE)&lt;1.5, INT(F23)&gt;45), $Q$6, ""), "") &amp; " " &amp; _xlfn.IFNA(IF(AND(OR(G23="X",H23="X"), OR(VLOOKUP(D23, 'Selection Lists'!$A$4:$B$17, 2, FALSE)&lt;0.75, INT(F23)&gt;45)), $Q$7, ""), "")</f>
        <v xml:space="preserve">  </v>
      </c>
      <c r="O23" s="180"/>
      <c r="P23" s="180"/>
    </row>
    <row r="24" spans="1:16" ht="13.5" thickBot="1" x14ac:dyDescent="0.25">
      <c r="A24" s="157"/>
      <c r="B24" s="158" t="s">
        <v>14</v>
      </c>
      <c r="C24" s="35"/>
      <c r="D24" s="36"/>
      <c r="E24" s="35"/>
      <c r="F24" s="37"/>
      <c r="G24" s="47"/>
      <c r="H24" s="38"/>
      <c r="I24" s="38"/>
      <c r="J24" s="38"/>
      <c r="K24" s="38"/>
      <c r="L24" s="178" t="str">
        <f t="shared" si="1"/>
        <v/>
      </c>
      <c r="M24" s="179" t="str">
        <f t="shared" si="0"/>
        <v/>
      </c>
      <c r="N24" s="175" t="str">
        <f>_xlfn.IFNA(IF(OR(L24&gt;50, OR(OR(VLOOKUP(D24,'Selection Lists'!$A$4:$B$17, 2, FALSE)&lt;3/8, VLOOKUP(D24, 'Selection Lists'!$A$4:$B$17, 2, FALSE)&gt;2)), OR(INT(F24)&lt;10, INT(F24)&gt;55)), $Q$5, ""), "") &amp; " " &amp; _xlfn.IFNA(IF(AND(VLOOKUP(D24, 'Selection Lists'!$A$4:$B$17, 2, FALSE)&lt;1.5, INT(F24)&gt;45), $Q$6, ""), "") &amp; " " &amp; _xlfn.IFNA(IF(AND(OR(G24="X",H24="X"), OR(VLOOKUP(D24, 'Selection Lists'!$A$4:$B$17, 2, FALSE)&lt;0.75, INT(F24)&gt;45)), $Q$7, ""), "")</f>
        <v xml:space="preserve">  </v>
      </c>
      <c r="P24" s="180"/>
    </row>
    <row r="25" spans="1:16" x14ac:dyDescent="0.2">
      <c r="A25" s="153">
        <v>8</v>
      </c>
      <c r="B25" s="154" t="s">
        <v>12</v>
      </c>
      <c r="C25" s="30"/>
      <c r="D25" s="31"/>
      <c r="E25" s="32"/>
      <c r="F25" s="33"/>
      <c r="G25" s="45"/>
      <c r="H25" s="34"/>
      <c r="I25" s="34"/>
      <c r="J25" s="34"/>
      <c r="K25" s="34"/>
      <c r="L25" s="173" t="str">
        <f t="shared" si="1"/>
        <v/>
      </c>
      <c r="M25" s="174" t="str">
        <f t="shared" si="0"/>
        <v/>
      </c>
      <c r="N25" s="175" t="str">
        <f>_xlfn.IFNA(IF(OR(L25&gt;50, OR(OR(VLOOKUP(D25,'Selection Lists'!$A$4:$B$17, 2, FALSE)&lt;3/8, VLOOKUP(D25, 'Selection Lists'!$A$4:$B$17, 2, FALSE)&gt;2)), OR(INT(F25)&lt;10, INT(F25)&gt;55)), $Q$5, ""), "") &amp; " " &amp; _xlfn.IFNA(IF(AND(VLOOKUP(D25, 'Selection Lists'!$A$4:$B$17, 2, FALSE)&lt;1.5, INT(F25)&gt;45), $Q$6, ""), "") &amp; " " &amp; _xlfn.IFNA(IF(AND(OR(G25="X",H25="X"), OR(VLOOKUP(D25, 'Selection Lists'!$A$4:$B$17, 2, FALSE)&lt;0.75, INT(F25)&gt;45)), $Q$7, ""), "")</f>
        <v xml:space="preserve">  </v>
      </c>
      <c r="O25" s="180"/>
    </row>
    <row r="26" spans="1:16" x14ac:dyDescent="0.2">
      <c r="A26" s="155"/>
      <c r="B26" s="156" t="s">
        <v>13</v>
      </c>
      <c r="C26" s="26"/>
      <c r="D26" s="27"/>
      <c r="E26" s="26"/>
      <c r="F26" s="28"/>
      <c r="G26" s="46"/>
      <c r="H26" s="29"/>
      <c r="I26" s="29"/>
      <c r="J26" s="29"/>
      <c r="K26" s="29"/>
      <c r="L26" s="176" t="str">
        <f t="shared" si="1"/>
        <v/>
      </c>
      <c r="M26" s="177" t="str">
        <f t="shared" si="0"/>
        <v/>
      </c>
      <c r="N26" s="175" t="str">
        <f>_xlfn.IFNA(IF(OR(L26&gt;50, OR(OR(VLOOKUP(D26,'Selection Lists'!$A$4:$B$17, 2, FALSE)&lt;3/8, VLOOKUP(D26, 'Selection Lists'!$A$4:$B$17, 2, FALSE)&gt;2)), OR(INT(F26)&lt;10, INT(F26)&gt;55)), $Q$5, ""), "") &amp; " " &amp; _xlfn.IFNA(IF(AND(VLOOKUP(D26, 'Selection Lists'!$A$4:$B$17, 2, FALSE)&lt;1.5, INT(F26)&gt;45), $Q$6, ""), "") &amp; " " &amp; _xlfn.IFNA(IF(AND(OR(G26="X",H26="X"), OR(VLOOKUP(D26, 'Selection Lists'!$A$4:$B$17, 2, FALSE)&lt;0.75, INT(F26)&gt;45)), $Q$7, ""), "")</f>
        <v xml:space="preserve">  </v>
      </c>
      <c r="O26" s="180"/>
      <c r="P26" s="180"/>
    </row>
    <row r="27" spans="1:16" ht="13.5" thickBot="1" x14ac:dyDescent="0.25">
      <c r="A27" s="157"/>
      <c r="B27" s="158" t="s">
        <v>14</v>
      </c>
      <c r="C27" s="35"/>
      <c r="D27" s="36"/>
      <c r="E27" s="35"/>
      <c r="F27" s="37"/>
      <c r="G27" s="47"/>
      <c r="H27" s="38"/>
      <c r="I27" s="38"/>
      <c r="J27" s="38"/>
      <c r="K27" s="38"/>
      <c r="L27" s="178" t="str">
        <f t="shared" si="1"/>
        <v/>
      </c>
      <c r="M27" s="179" t="str">
        <f t="shared" si="0"/>
        <v/>
      </c>
      <c r="N27" s="175" t="str">
        <f>_xlfn.IFNA(IF(OR(L27&gt;50, OR(OR(VLOOKUP(D27,'Selection Lists'!$A$4:$B$17, 2, FALSE)&lt;3/8, VLOOKUP(D27, 'Selection Lists'!$A$4:$B$17, 2, FALSE)&gt;2)), OR(INT(F27)&lt;10, INT(F27)&gt;55)), $Q$5, ""), "") &amp; " " &amp; _xlfn.IFNA(IF(AND(VLOOKUP(D27, 'Selection Lists'!$A$4:$B$17, 2, FALSE)&lt;1.5, INT(F27)&gt;45), $Q$6, ""), "") &amp; " " &amp; _xlfn.IFNA(IF(AND(OR(G27="X",H27="X"), OR(VLOOKUP(D27, 'Selection Lists'!$A$4:$B$17, 2, FALSE)&lt;0.75, INT(F27)&gt;45)), $Q$7, ""), "")</f>
        <v xml:space="preserve">  </v>
      </c>
      <c r="P27" s="180"/>
    </row>
    <row r="28" spans="1:16" x14ac:dyDescent="0.2">
      <c r="A28" s="153">
        <v>9</v>
      </c>
      <c r="B28" s="154" t="s">
        <v>12</v>
      </c>
      <c r="C28" s="30"/>
      <c r="D28" s="31"/>
      <c r="E28" s="32"/>
      <c r="F28" s="33"/>
      <c r="G28" s="45"/>
      <c r="H28" s="34"/>
      <c r="I28" s="34"/>
      <c r="J28" s="34"/>
      <c r="K28" s="34"/>
      <c r="L28" s="173" t="str">
        <f t="shared" si="1"/>
        <v/>
      </c>
      <c r="M28" s="174" t="str">
        <f t="shared" si="0"/>
        <v/>
      </c>
      <c r="N28" s="175" t="str">
        <f>_xlfn.IFNA(IF(OR(L28&gt;50, OR(OR(VLOOKUP(D28,'Selection Lists'!$A$4:$B$17, 2, FALSE)&lt;3/8, VLOOKUP(D28, 'Selection Lists'!$A$4:$B$17, 2, FALSE)&gt;2)), OR(INT(F28)&lt;10, INT(F28)&gt;55)), $Q$5, ""), "") &amp; " " &amp; _xlfn.IFNA(IF(AND(VLOOKUP(D28, 'Selection Lists'!$A$4:$B$17, 2, FALSE)&lt;1.5, INT(F28)&gt;45), $Q$6, ""), "") &amp; " " &amp; _xlfn.IFNA(IF(AND(OR(G28="X",H28="X"), OR(VLOOKUP(D28, 'Selection Lists'!$A$4:$B$17, 2, FALSE)&lt;0.75, INT(F28)&gt;45)), $Q$7, ""), "")</f>
        <v xml:space="preserve">  </v>
      </c>
      <c r="O28" s="180"/>
    </row>
    <row r="29" spans="1:16" x14ac:dyDescent="0.2">
      <c r="A29" s="155"/>
      <c r="B29" s="156" t="s">
        <v>13</v>
      </c>
      <c r="C29" s="26"/>
      <c r="D29" s="27"/>
      <c r="E29" s="26"/>
      <c r="F29" s="28"/>
      <c r="G29" s="46"/>
      <c r="H29" s="29"/>
      <c r="I29" s="29"/>
      <c r="J29" s="29"/>
      <c r="K29" s="29"/>
      <c r="L29" s="176" t="str">
        <f t="shared" si="1"/>
        <v/>
      </c>
      <c r="M29" s="177" t="str">
        <f t="shared" si="0"/>
        <v/>
      </c>
      <c r="N29" s="175" t="str">
        <f>_xlfn.IFNA(IF(OR(L29&gt;50, OR(OR(VLOOKUP(D29,'Selection Lists'!$A$4:$B$17, 2, FALSE)&lt;3/8, VLOOKUP(D29, 'Selection Lists'!$A$4:$B$17, 2, FALSE)&gt;2)), OR(INT(F29)&lt;10, INT(F29)&gt;55)), $Q$5, ""), "") &amp; " " &amp; _xlfn.IFNA(IF(AND(VLOOKUP(D29, 'Selection Lists'!$A$4:$B$17, 2, FALSE)&lt;1.5, INT(F29)&gt;45), $Q$6, ""), "") &amp; " " &amp; _xlfn.IFNA(IF(AND(OR(G29="X",H29="X"), OR(VLOOKUP(D29, 'Selection Lists'!$A$4:$B$17, 2, FALSE)&lt;0.75, INT(F29)&gt;45)), $Q$7, ""), "")</f>
        <v xml:space="preserve">  </v>
      </c>
      <c r="O29" s="180"/>
    </row>
    <row r="30" spans="1:16" ht="13.5" thickBot="1" x14ac:dyDescent="0.25">
      <c r="A30" s="157"/>
      <c r="B30" s="158" t="s">
        <v>14</v>
      </c>
      <c r="C30" s="35"/>
      <c r="D30" s="36"/>
      <c r="E30" s="35"/>
      <c r="F30" s="37"/>
      <c r="G30" s="47"/>
      <c r="H30" s="38"/>
      <c r="I30" s="38"/>
      <c r="J30" s="38"/>
      <c r="K30" s="38"/>
      <c r="L30" s="178" t="str">
        <f t="shared" si="1"/>
        <v/>
      </c>
      <c r="M30" s="179" t="str">
        <f t="shared" si="0"/>
        <v/>
      </c>
      <c r="N30" s="175" t="str">
        <f>_xlfn.IFNA(IF(OR(L30&gt;50, OR(OR(VLOOKUP(D30,'Selection Lists'!$A$4:$B$17, 2, FALSE)&lt;3/8, VLOOKUP(D30, 'Selection Lists'!$A$4:$B$17, 2, FALSE)&gt;2)), OR(INT(F30)&lt;10, INT(F30)&gt;55)), $Q$5, ""), "") &amp; " " &amp; _xlfn.IFNA(IF(AND(VLOOKUP(D30, 'Selection Lists'!$A$4:$B$17, 2, FALSE)&lt;1.5, INT(F30)&gt;45), $Q$6, ""), "") &amp; " " &amp; _xlfn.IFNA(IF(AND(OR(G30="X",H30="X"), OR(VLOOKUP(D30, 'Selection Lists'!$A$4:$B$17, 2, FALSE)&lt;0.75, INT(F30)&gt;45)), $Q$7, ""), "")</f>
        <v xml:space="preserve">  </v>
      </c>
    </row>
    <row r="31" spans="1:16" x14ac:dyDescent="0.2">
      <c r="A31" s="153">
        <v>10</v>
      </c>
      <c r="B31" s="154" t="s">
        <v>12</v>
      </c>
      <c r="C31" s="30"/>
      <c r="D31" s="31"/>
      <c r="E31" s="32"/>
      <c r="F31" s="33"/>
      <c r="G31" s="45"/>
      <c r="H31" s="34"/>
      <c r="I31" s="34"/>
      <c r="J31" s="34"/>
      <c r="K31" s="34"/>
      <c r="L31" s="173" t="str">
        <f t="shared" si="1"/>
        <v/>
      </c>
      <c r="M31" s="174" t="str">
        <f t="shared" si="0"/>
        <v/>
      </c>
      <c r="N31" s="175" t="str">
        <f>_xlfn.IFNA(IF(OR(L31&gt;50, OR(OR(VLOOKUP(D31,'Selection Lists'!$A$4:$B$17, 2, FALSE)&lt;3/8, VLOOKUP(D31, 'Selection Lists'!$A$4:$B$17, 2, FALSE)&gt;2)), OR(INT(F31)&lt;10, INT(F31)&gt;55)), $Q$5, ""), "") &amp; " " &amp; _xlfn.IFNA(IF(AND(VLOOKUP(D31, 'Selection Lists'!$A$4:$B$17, 2, FALSE)&lt;1.5, INT(F31)&gt;45), $Q$6, ""), "") &amp; " " &amp; _xlfn.IFNA(IF(AND(OR(G31="X",H31="X"), OR(VLOOKUP(D31, 'Selection Lists'!$A$4:$B$17, 2, FALSE)&lt;0.75, INT(F31)&gt;45)), $Q$7, ""), "")</f>
        <v xml:space="preserve">  </v>
      </c>
    </row>
    <row r="32" spans="1:16" x14ac:dyDescent="0.2">
      <c r="A32" s="155"/>
      <c r="B32" s="156" t="s">
        <v>13</v>
      </c>
      <c r="C32" s="26"/>
      <c r="D32" s="27"/>
      <c r="E32" s="26"/>
      <c r="F32" s="28"/>
      <c r="G32" s="46"/>
      <c r="H32" s="29"/>
      <c r="I32" s="29"/>
      <c r="J32" s="29"/>
      <c r="K32" s="29"/>
      <c r="L32" s="176" t="str">
        <f t="shared" si="1"/>
        <v/>
      </c>
      <c r="M32" s="177" t="str">
        <f t="shared" si="0"/>
        <v/>
      </c>
      <c r="N32" s="175" t="str">
        <f>_xlfn.IFNA(IF(OR(L32&gt;50, OR(OR(VLOOKUP(D32,'Selection Lists'!$A$4:$B$17, 2, FALSE)&lt;3/8, VLOOKUP(D32, 'Selection Lists'!$A$4:$B$17, 2, FALSE)&gt;2)), OR(INT(F32)&lt;10, INT(F32)&gt;55)), $Q$5, ""), "") &amp; " " &amp; _xlfn.IFNA(IF(AND(VLOOKUP(D32, 'Selection Lists'!$A$4:$B$17, 2, FALSE)&lt;1.5, INT(F32)&gt;45), $Q$6, ""), "") &amp; " " &amp; _xlfn.IFNA(IF(AND(OR(G32="X",H32="X"), OR(VLOOKUP(D32, 'Selection Lists'!$A$4:$B$17, 2, FALSE)&lt;0.75, INT(F32)&gt;45)), $Q$7, ""), "")</f>
        <v xml:space="preserve">  </v>
      </c>
    </row>
    <row r="33" spans="1:14" ht="13.5" thickBot="1" x14ac:dyDescent="0.25">
      <c r="A33" s="157"/>
      <c r="B33" s="158" t="s">
        <v>14</v>
      </c>
      <c r="C33" s="35"/>
      <c r="D33" s="36"/>
      <c r="E33" s="35"/>
      <c r="F33" s="37"/>
      <c r="G33" s="47"/>
      <c r="H33" s="38"/>
      <c r="I33" s="38"/>
      <c r="J33" s="38"/>
      <c r="K33" s="38"/>
      <c r="L33" s="178" t="str">
        <f t="shared" si="1"/>
        <v/>
      </c>
      <c r="M33" s="179" t="str">
        <f t="shared" si="0"/>
        <v/>
      </c>
      <c r="N33" s="175" t="str">
        <f>_xlfn.IFNA(IF(OR(L33&gt;50, OR(OR(VLOOKUP(D33,'Selection Lists'!$A$4:$B$17, 2, FALSE)&lt;3/8, VLOOKUP(D33, 'Selection Lists'!$A$4:$B$17, 2, FALSE)&gt;2)), OR(INT(F33)&lt;10, INT(F33)&gt;55)), $Q$5, ""), "") &amp; " " &amp; _xlfn.IFNA(IF(AND(VLOOKUP(D33, 'Selection Lists'!$A$4:$B$17, 2, FALSE)&lt;1.5, INT(F33)&gt;45), $Q$6, ""), "") &amp; " " &amp; _xlfn.IFNA(IF(AND(OR(G33="X",H33="X"), OR(VLOOKUP(D33, 'Selection Lists'!$A$4:$B$17, 2, FALSE)&lt;0.75, INT(F33)&gt;45)), $Q$7, ""), "")</f>
        <v xml:space="preserve">  </v>
      </c>
    </row>
    <row r="34" spans="1:14" x14ac:dyDescent="0.2">
      <c r="A34" s="153">
        <v>11</v>
      </c>
      <c r="B34" s="154" t="s">
        <v>12</v>
      </c>
      <c r="C34" s="30"/>
      <c r="D34" s="31"/>
      <c r="E34" s="32"/>
      <c r="F34" s="33"/>
      <c r="G34" s="45"/>
      <c r="H34" s="34"/>
      <c r="I34" s="34"/>
      <c r="J34" s="34"/>
      <c r="K34" s="34"/>
      <c r="L34" s="173" t="str">
        <f t="shared" si="1"/>
        <v/>
      </c>
      <c r="M34" s="174" t="str">
        <f t="shared" si="0"/>
        <v/>
      </c>
      <c r="N34" s="175" t="str">
        <f>_xlfn.IFNA(IF(OR(L34&gt;50, OR(OR(VLOOKUP(D34,'Selection Lists'!$A$4:$B$17, 2, FALSE)&lt;3/8, VLOOKUP(D34, 'Selection Lists'!$A$4:$B$17, 2, FALSE)&gt;2)), OR(INT(F34)&lt;10, INT(F34)&gt;55)), $Q$5, ""), "") &amp; " " &amp; _xlfn.IFNA(IF(AND(VLOOKUP(D34, 'Selection Lists'!$A$4:$B$17, 2, FALSE)&lt;1.5, INT(F34)&gt;45), $Q$6, ""), "") &amp; " " &amp; _xlfn.IFNA(IF(AND(OR(G34="X",H34="X"), OR(VLOOKUP(D34, 'Selection Lists'!$A$4:$B$17, 2, FALSE)&lt;0.75, INT(F34)&gt;45)), $Q$7, ""), "")</f>
        <v xml:space="preserve">  </v>
      </c>
    </row>
    <row r="35" spans="1:14" x14ac:dyDescent="0.2">
      <c r="A35" s="155"/>
      <c r="B35" s="156" t="s">
        <v>13</v>
      </c>
      <c r="C35" s="26"/>
      <c r="D35" s="27"/>
      <c r="E35" s="26"/>
      <c r="F35" s="28"/>
      <c r="G35" s="46"/>
      <c r="H35" s="29"/>
      <c r="I35" s="29"/>
      <c r="J35" s="29"/>
      <c r="K35" s="29"/>
      <c r="L35" s="176" t="str">
        <f t="shared" si="1"/>
        <v/>
      </c>
      <c r="M35" s="177" t="str">
        <f t="shared" si="0"/>
        <v/>
      </c>
      <c r="N35" s="175" t="str">
        <f>_xlfn.IFNA(IF(OR(L35&gt;50, OR(OR(VLOOKUP(D35,'Selection Lists'!$A$4:$B$17, 2, FALSE)&lt;3/8, VLOOKUP(D35, 'Selection Lists'!$A$4:$B$17, 2, FALSE)&gt;2)), OR(INT(F35)&lt;10, INT(F35)&gt;55)), $Q$5, ""), "") &amp; " " &amp; _xlfn.IFNA(IF(AND(VLOOKUP(D35, 'Selection Lists'!$A$4:$B$17, 2, FALSE)&lt;1.5, INT(F35)&gt;45), $Q$6, ""), "") &amp; " " &amp; _xlfn.IFNA(IF(AND(OR(G35="X",H35="X"), OR(VLOOKUP(D35, 'Selection Lists'!$A$4:$B$17, 2, FALSE)&lt;0.75, INT(F35)&gt;45)), $Q$7, ""), "")</f>
        <v xml:space="preserve">  </v>
      </c>
    </row>
    <row r="36" spans="1:14" ht="13.5" thickBot="1" x14ac:dyDescent="0.25">
      <c r="A36" s="157"/>
      <c r="B36" s="158" t="s">
        <v>14</v>
      </c>
      <c r="C36" s="35"/>
      <c r="D36" s="36"/>
      <c r="E36" s="35"/>
      <c r="F36" s="37"/>
      <c r="G36" s="47"/>
      <c r="H36" s="38"/>
      <c r="I36" s="38"/>
      <c r="J36" s="38"/>
      <c r="K36" s="38"/>
      <c r="L36" s="178" t="str">
        <f t="shared" si="1"/>
        <v/>
      </c>
      <c r="M36" s="179" t="str">
        <f t="shared" ref="M36:M67" si="2">IFERROR((F36/D36)*(1+IF(G36="X", 0.75, 0) +IF(H36="X", 0.5, 0) + IF(I36="X", 0.25, 0) + IF(J36="X", 0.25, 0) + IF(K36="X", 0.25, 0)+IF(F36&gt;45, 0.125, 0)), "")</f>
        <v/>
      </c>
      <c r="N36" s="175" t="str">
        <f>_xlfn.IFNA(IF(OR(L36&gt;50, OR(OR(VLOOKUP(D36,'Selection Lists'!$A$4:$B$17, 2, FALSE)&lt;3/8, VLOOKUP(D36, 'Selection Lists'!$A$4:$B$17, 2, FALSE)&gt;2)), OR(INT(F36)&lt;10, INT(F36)&gt;55)), $Q$5, ""), "") &amp; " " &amp; _xlfn.IFNA(IF(AND(VLOOKUP(D36, 'Selection Lists'!$A$4:$B$17, 2, FALSE)&lt;1.5, INT(F36)&gt;45), $Q$6, ""), "") &amp; " " &amp; _xlfn.IFNA(IF(AND(OR(G36="X",H36="X"), OR(VLOOKUP(D36, 'Selection Lists'!$A$4:$B$17, 2, FALSE)&lt;0.75, INT(F36)&gt;45)), $Q$7, ""), "")</f>
        <v xml:space="preserve">  </v>
      </c>
    </row>
    <row r="37" spans="1:14" x14ac:dyDescent="0.2">
      <c r="A37" s="153">
        <v>12</v>
      </c>
      <c r="B37" s="154" t="s">
        <v>12</v>
      </c>
      <c r="C37" s="30"/>
      <c r="D37" s="31"/>
      <c r="E37" s="32"/>
      <c r="F37" s="33"/>
      <c r="G37" s="45"/>
      <c r="H37" s="34"/>
      <c r="I37" s="34"/>
      <c r="J37" s="34"/>
      <c r="K37" s="34"/>
      <c r="L37" s="173" t="str">
        <f t="shared" si="1"/>
        <v/>
      </c>
      <c r="M37" s="174" t="str">
        <f t="shared" si="2"/>
        <v/>
      </c>
      <c r="N37" s="175" t="str">
        <f>_xlfn.IFNA(IF(OR(L37&gt;50, OR(OR(VLOOKUP(D37,'Selection Lists'!$A$4:$B$17, 2, FALSE)&lt;3/8, VLOOKUP(D37, 'Selection Lists'!$A$4:$B$17, 2, FALSE)&gt;2)), OR(INT(F37)&lt;10, INT(F37)&gt;55)), $Q$5, ""), "") &amp; " " &amp; _xlfn.IFNA(IF(AND(VLOOKUP(D37, 'Selection Lists'!$A$4:$B$17, 2, FALSE)&lt;1.5, INT(F37)&gt;45), $Q$6, ""), "") &amp; " " &amp; _xlfn.IFNA(IF(AND(OR(G37="X",H37="X"), OR(VLOOKUP(D37, 'Selection Lists'!$A$4:$B$17, 2, FALSE)&lt;0.75, INT(F37)&gt;45)), $Q$7, ""), "")</f>
        <v xml:space="preserve">  </v>
      </c>
    </row>
    <row r="38" spans="1:14" x14ac:dyDescent="0.2">
      <c r="A38" s="155"/>
      <c r="B38" s="156" t="s">
        <v>13</v>
      </c>
      <c r="C38" s="26"/>
      <c r="D38" s="27"/>
      <c r="E38" s="26"/>
      <c r="F38" s="28"/>
      <c r="G38" s="46"/>
      <c r="H38" s="29"/>
      <c r="I38" s="29"/>
      <c r="J38" s="29"/>
      <c r="K38" s="29"/>
      <c r="L38" s="176" t="str">
        <f t="shared" si="1"/>
        <v/>
      </c>
      <c r="M38" s="177" t="str">
        <f t="shared" si="2"/>
        <v/>
      </c>
      <c r="N38" s="175" t="str">
        <f>_xlfn.IFNA(IF(OR(L38&gt;50, OR(OR(VLOOKUP(D38,'Selection Lists'!$A$4:$B$17, 2, FALSE)&lt;3/8, VLOOKUP(D38, 'Selection Lists'!$A$4:$B$17, 2, FALSE)&gt;2)), OR(INT(F38)&lt;10, INT(F38)&gt;55)), $Q$5, ""), "") &amp; " " &amp; _xlfn.IFNA(IF(AND(VLOOKUP(D38, 'Selection Lists'!$A$4:$B$17, 2, FALSE)&lt;1.5, INT(F38)&gt;45), $Q$6, ""), "") &amp; " " &amp; _xlfn.IFNA(IF(AND(OR(G38="X",H38="X"), OR(VLOOKUP(D38, 'Selection Lists'!$A$4:$B$17, 2, FALSE)&lt;0.75, INT(F38)&gt;45)), $Q$7, ""), "")</f>
        <v xml:space="preserve">  </v>
      </c>
    </row>
    <row r="39" spans="1:14" ht="13.5" thickBot="1" x14ac:dyDescent="0.25">
      <c r="A39" s="157"/>
      <c r="B39" s="158" t="s">
        <v>14</v>
      </c>
      <c r="C39" s="35"/>
      <c r="D39" s="36"/>
      <c r="E39" s="35"/>
      <c r="F39" s="37"/>
      <c r="G39" s="47"/>
      <c r="H39" s="38"/>
      <c r="I39" s="38"/>
      <c r="J39" s="38"/>
      <c r="K39" s="38"/>
      <c r="L39" s="178" t="str">
        <f t="shared" si="1"/>
        <v/>
      </c>
      <c r="M39" s="179" t="str">
        <f t="shared" si="2"/>
        <v/>
      </c>
      <c r="N39" s="175" t="str">
        <f>_xlfn.IFNA(IF(OR(L39&gt;50, OR(OR(VLOOKUP(D39,'Selection Lists'!$A$4:$B$17, 2, FALSE)&lt;3/8, VLOOKUP(D39, 'Selection Lists'!$A$4:$B$17, 2, FALSE)&gt;2)), OR(INT(F39)&lt;10, INT(F39)&gt;55)), $Q$5, ""), "") &amp; " " &amp; _xlfn.IFNA(IF(AND(VLOOKUP(D39, 'Selection Lists'!$A$4:$B$17, 2, FALSE)&lt;1.5, INT(F39)&gt;45), $Q$6, ""), "") &amp; " " &amp; _xlfn.IFNA(IF(AND(OR(G39="X",H39="X"), OR(VLOOKUP(D39, 'Selection Lists'!$A$4:$B$17, 2, FALSE)&lt;0.75, INT(F39)&gt;45)), $Q$7, ""), "")</f>
        <v xml:space="preserve">  </v>
      </c>
    </row>
    <row r="40" spans="1:14" x14ac:dyDescent="0.2">
      <c r="A40" s="153">
        <v>13</v>
      </c>
      <c r="B40" s="154" t="s">
        <v>12</v>
      </c>
      <c r="C40" s="30"/>
      <c r="D40" s="31"/>
      <c r="E40" s="32"/>
      <c r="F40" s="33"/>
      <c r="G40" s="45"/>
      <c r="H40" s="34"/>
      <c r="I40" s="34"/>
      <c r="J40" s="34"/>
      <c r="K40" s="34"/>
      <c r="L40" s="173" t="str">
        <f t="shared" si="1"/>
        <v/>
      </c>
      <c r="M40" s="174" t="str">
        <f t="shared" si="2"/>
        <v/>
      </c>
      <c r="N40" s="175" t="str">
        <f>_xlfn.IFNA(IF(OR(L40&gt;50, OR(OR(VLOOKUP(D40,'Selection Lists'!$A$4:$B$17, 2, FALSE)&lt;3/8, VLOOKUP(D40, 'Selection Lists'!$A$4:$B$17, 2, FALSE)&gt;2)), OR(INT(F40)&lt;10, INT(F40)&gt;55)), $Q$5, ""), "") &amp; " " &amp; _xlfn.IFNA(IF(AND(VLOOKUP(D40, 'Selection Lists'!$A$4:$B$17, 2, FALSE)&lt;1.5, INT(F40)&gt;45), $Q$6, ""), "") &amp; " " &amp; _xlfn.IFNA(IF(AND(OR(G40="X",H40="X"), OR(VLOOKUP(D40, 'Selection Lists'!$A$4:$B$17, 2, FALSE)&lt;0.75, INT(F40)&gt;45)), $Q$7, ""), "")</f>
        <v xml:space="preserve">  </v>
      </c>
    </row>
    <row r="41" spans="1:14" x14ac:dyDescent="0.2">
      <c r="A41" s="155"/>
      <c r="B41" s="156" t="s">
        <v>13</v>
      </c>
      <c r="C41" s="26"/>
      <c r="D41" s="27"/>
      <c r="E41" s="26"/>
      <c r="F41" s="28"/>
      <c r="G41" s="46"/>
      <c r="H41" s="29"/>
      <c r="I41" s="29"/>
      <c r="J41" s="29"/>
      <c r="K41" s="29"/>
      <c r="L41" s="176" t="str">
        <f t="shared" si="1"/>
        <v/>
      </c>
      <c r="M41" s="177" t="str">
        <f t="shared" si="2"/>
        <v/>
      </c>
      <c r="N41" s="175" t="str">
        <f>_xlfn.IFNA(IF(OR(L41&gt;50, OR(OR(VLOOKUP(D41,'Selection Lists'!$A$4:$B$17, 2, FALSE)&lt;3/8, VLOOKUP(D41, 'Selection Lists'!$A$4:$B$17, 2, FALSE)&gt;2)), OR(INT(F41)&lt;10, INT(F41)&gt;55)), $Q$5, ""), "") &amp; " " &amp; _xlfn.IFNA(IF(AND(VLOOKUP(D41, 'Selection Lists'!$A$4:$B$17, 2, FALSE)&lt;1.5, INT(F41)&gt;45), $Q$6, ""), "") &amp; " " &amp; _xlfn.IFNA(IF(AND(OR(G41="X",H41="X"), OR(VLOOKUP(D41, 'Selection Lists'!$A$4:$B$17, 2, FALSE)&lt;0.75, INT(F41)&gt;45)), $Q$7, ""), "")</f>
        <v xml:space="preserve">  </v>
      </c>
    </row>
    <row r="42" spans="1:14" ht="13.5" thickBot="1" x14ac:dyDescent="0.25">
      <c r="A42" s="157"/>
      <c r="B42" s="158" t="s">
        <v>14</v>
      </c>
      <c r="C42" s="35"/>
      <c r="D42" s="36"/>
      <c r="E42" s="35"/>
      <c r="F42" s="37"/>
      <c r="G42" s="47"/>
      <c r="H42" s="38"/>
      <c r="I42" s="38"/>
      <c r="J42" s="38"/>
      <c r="K42" s="38"/>
      <c r="L42" s="178" t="str">
        <f t="shared" si="1"/>
        <v/>
      </c>
      <c r="M42" s="179" t="str">
        <f t="shared" si="2"/>
        <v/>
      </c>
      <c r="N42" s="175" t="str">
        <f>_xlfn.IFNA(IF(OR(L42&gt;50, OR(OR(VLOOKUP(D42,'Selection Lists'!$A$4:$B$17, 2, FALSE)&lt;3/8, VLOOKUP(D42, 'Selection Lists'!$A$4:$B$17, 2, FALSE)&gt;2)), OR(INT(F42)&lt;10, INT(F42)&gt;55)), $Q$5, ""), "") &amp; " " &amp; _xlfn.IFNA(IF(AND(VLOOKUP(D42, 'Selection Lists'!$A$4:$B$17, 2, FALSE)&lt;1.5, INT(F42)&gt;45), $Q$6, ""), "") &amp; " " &amp; _xlfn.IFNA(IF(AND(OR(G42="X",H42="X"), OR(VLOOKUP(D42, 'Selection Lists'!$A$4:$B$17, 2, FALSE)&lt;0.75, INT(F42)&gt;45)), $Q$7, ""), "")</f>
        <v xml:space="preserve">  </v>
      </c>
    </row>
    <row r="43" spans="1:14" x14ac:dyDescent="0.2">
      <c r="A43" s="153">
        <v>14</v>
      </c>
      <c r="B43" s="154" t="s">
        <v>12</v>
      </c>
      <c r="C43" s="30"/>
      <c r="D43" s="31"/>
      <c r="E43" s="32"/>
      <c r="F43" s="33"/>
      <c r="G43" s="45"/>
      <c r="H43" s="34"/>
      <c r="I43" s="34"/>
      <c r="J43" s="34"/>
      <c r="K43" s="34"/>
      <c r="L43" s="173" t="str">
        <f t="shared" si="1"/>
        <v/>
      </c>
      <c r="M43" s="174" t="str">
        <f t="shared" si="2"/>
        <v/>
      </c>
      <c r="N43" s="175" t="str">
        <f>_xlfn.IFNA(IF(OR(L43&gt;50, OR(OR(VLOOKUP(D43,'Selection Lists'!$A$4:$B$17, 2, FALSE)&lt;3/8, VLOOKUP(D43, 'Selection Lists'!$A$4:$B$17, 2, FALSE)&gt;2)), OR(INT(F43)&lt;10, INT(F43)&gt;55)), $Q$5, ""), "") &amp; " " &amp; _xlfn.IFNA(IF(AND(VLOOKUP(D43, 'Selection Lists'!$A$4:$B$17, 2, FALSE)&lt;1.5, INT(F43)&gt;45), $Q$6, ""), "") &amp; " " &amp; _xlfn.IFNA(IF(AND(OR(G43="X",H43="X"), OR(VLOOKUP(D43, 'Selection Lists'!$A$4:$B$17, 2, FALSE)&lt;0.75, INT(F43)&gt;45)), $Q$7, ""), "")</f>
        <v xml:space="preserve">  </v>
      </c>
    </row>
    <row r="44" spans="1:14" x14ac:dyDescent="0.2">
      <c r="A44" s="155"/>
      <c r="B44" s="156" t="s">
        <v>13</v>
      </c>
      <c r="C44" s="26"/>
      <c r="D44" s="27"/>
      <c r="E44" s="26"/>
      <c r="F44" s="28"/>
      <c r="G44" s="46"/>
      <c r="H44" s="29"/>
      <c r="I44" s="29"/>
      <c r="J44" s="29"/>
      <c r="K44" s="29"/>
      <c r="L44" s="176" t="str">
        <f t="shared" si="1"/>
        <v/>
      </c>
      <c r="M44" s="177" t="str">
        <f t="shared" si="2"/>
        <v/>
      </c>
      <c r="N44" s="175" t="str">
        <f>_xlfn.IFNA(IF(OR(L44&gt;50, OR(OR(VLOOKUP(D44,'Selection Lists'!$A$4:$B$17, 2, FALSE)&lt;3/8, VLOOKUP(D44, 'Selection Lists'!$A$4:$B$17, 2, FALSE)&gt;2)), OR(INT(F44)&lt;10, INT(F44)&gt;55)), $Q$5, ""), "") &amp; " " &amp; _xlfn.IFNA(IF(AND(VLOOKUP(D44, 'Selection Lists'!$A$4:$B$17, 2, FALSE)&lt;1.5, INT(F44)&gt;45), $Q$6, ""), "") &amp; " " &amp; _xlfn.IFNA(IF(AND(OR(G44="X",H44="X"), OR(VLOOKUP(D44, 'Selection Lists'!$A$4:$B$17, 2, FALSE)&lt;0.75, INT(F44)&gt;45)), $Q$7, ""), "")</f>
        <v xml:space="preserve">  </v>
      </c>
    </row>
    <row r="45" spans="1:14" ht="13.5" thickBot="1" x14ac:dyDescent="0.25">
      <c r="A45" s="157"/>
      <c r="B45" s="158" t="s">
        <v>14</v>
      </c>
      <c r="C45" s="35"/>
      <c r="D45" s="36"/>
      <c r="E45" s="35"/>
      <c r="F45" s="37"/>
      <c r="G45" s="47"/>
      <c r="H45" s="38"/>
      <c r="I45" s="38"/>
      <c r="J45" s="38"/>
      <c r="K45" s="38"/>
      <c r="L45" s="178" t="str">
        <f t="shared" si="1"/>
        <v/>
      </c>
      <c r="M45" s="179" t="str">
        <f t="shared" si="2"/>
        <v/>
      </c>
      <c r="N45" s="175" t="str">
        <f>_xlfn.IFNA(IF(OR(L45&gt;50, OR(OR(VLOOKUP(D45,'Selection Lists'!$A$4:$B$17, 2, FALSE)&lt;3/8, VLOOKUP(D45, 'Selection Lists'!$A$4:$B$17, 2, FALSE)&gt;2)), OR(INT(F45)&lt;10, INT(F45)&gt;55)), $Q$5, ""), "") &amp; " " &amp; _xlfn.IFNA(IF(AND(VLOOKUP(D45, 'Selection Lists'!$A$4:$B$17, 2, FALSE)&lt;1.5, INT(F45)&gt;45), $Q$6, ""), "") &amp; " " &amp; _xlfn.IFNA(IF(AND(OR(G45="X",H45="X"), OR(VLOOKUP(D45, 'Selection Lists'!$A$4:$B$17, 2, FALSE)&lt;0.75, INT(F45)&gt;45)), $Q$7, ""), "")</f>
        <v xml:space="preserve">  </v>
      </c>
    </row>
    <row r="46" spans="1:14" x14ac:dyDescent="0.2">
      <c r="A46" s="181">
        <v>15</v>
      </c>
      <c r="B46" s="154" t="s">
        <v>12</v>
      </c>
      <c r="C46" s="30"/>
      <c r="D46" s="31"/>
      <c r="E46" s="32"/>
      <c r="F46" s="33"/>
      <c r="G46" s="45"/>
      <c r="H46" s="34"/>
      <c r="I46" s="34"/>
      <c r="J46" s="34"/>
      <c r="K46" s="34"/>
      <c r="L46" s="173" t="str">
        <f t="shared" si="1"/>
        <v/>
      </c>
      <c r="M46" s="174" t="str">
        <f t="shared" si="2"/>
        <v/>
      </c>
      <c r="N46" s="175" t="str">
        <f>_xlfn.IFNA(IF(OR(L46&gt;50, OR(OR(VLOOKUP(D46,'Selection Lists'!$A$4:$B$17, 2, FALSE)&lt;3/8, VLOOKUP(D46, 'Selection Lists'!$A$4:$B$17, 2, FALSE)&gt;2)), OR(INT(F46)&lt;10, INT(F46)&gt;55)), $Q$5, ""), "") &amp; " " &amp; _xlfn.IFNA(IF(AND(VLOOKUP(D46, 'Selection Lists'!$A$4:$B$17, 2, FALSE)&lt;1.5, INT(F46)&gt;45), $Q$6, ""), "") &amp; " " &amp; _xlfn.IFNA(IF(AND(OR(G46="X",H46="X"), OR(VLOOKUP(D46, 'Selection Lists'!$A$4:$B$17, 2, FALSE)&lt;0.75, INT(F46)&gt;45)), $Q$7, ""), "")</f>
        <v xml:space="preserve">  </v>
      </c>
    </row>
    <row r="47" spans="1:14" x14ac:dyDescent="0.2">
      <c r="A47" s="182"/>
      <c r="B47" s="156" t="s">
        <v>13</v>
      </c>
      <c r="C47" s="26"/>
      <c r="D47" s="27"/>
      <c r="E47" s="26"/>
      <c r="F47" s="28"/>
      <c r="G47" s="46"/>
      <c r="H47" s="29"/>
      <c r="I47" s="29"/>
      <c r="J47" s="29"/>
      <c r="K47" s="29"/>
      <c r="L47" s="176" t="str">
        <f t="shared" si="1"/>
        <v/>
      </c>
      <c r="M47" s="177" t="str">
        <f t="shared" si="2"/>
        <v/>
      </c>
      <c r="N47" s="175" t="str">
        <f>_xlfn.IFNA(IF(OR(L47&gt;50, OR(OR(VLOOKUP(D47,'Selection Lists'!$A$4:$B$17, 2, FALSE)&lt;3/8, VLOOKUP(D47, 'Selection Lists'!$A$4:$B$17, 2, FALSE)&gt;2)), OR(INT(F47)&lt;10, INT(F47)&gt;55)), $Q$5, ""), "") &amp; " " &amp; _xlfn.IFNA(IF(AND(VLOOKUP(D47, 'Selection Lists'!$A$4:$B$17, 2, FALSE)&lt;1.5, INT(F47)&gt;45), $Q$6, ""), "") &amp; " " &amp; _xlfn.IFNA(IF(AND(OR(G47="X",H47="X"), OR(VLOOKUP(D47, 'Selection Lists'!$A$4:$B$17, 2, FALSE)&lt;0.75, INT(F47)&gt;45)), $Q$7, ""), "")</f>
        <v xml:space="preserve">  </v>
      </c>
    </row>
    <row r="48" spans="1:14" ht="13.5" thickBot="1" x14ac:dyDescent="0.25">
      <c r="A48" s="183"/>
      <c r="B48" s="158" t="s">
        <v>14</v>
      </c>
      <c r="C48" s="35"/>
      <c r="D48" s="36"/>
      <c r="E48" s="35"/>
      <c r="F48" s="37"/>
      <c r="G48" s="47"/>
      <c r="H48" s="38"/>
      <c r="I48" s="38"/>
      <c r="J48" s="38"/>
      <c r="K48" s="38"/>
      <c r="L48" s="178" t="str">
        <f t="shared" si="1"/>
        <v/>
      </c>
      <c r="M48" s="179" t="str">
        <f t="shared" si="2"/>
        <v/>
      </c>
      <c r="N48" s="175" t="str">
        <f>_xlfn.IFNA(IF(OR(L48&gt;50, OR(OR(VLOOKUP(D48,'Selection Lists'!$A$4:$B$17, 2, FALSE)&lt;3/8, VLOOKUP(D48, 'Selection Lists'!$A$4:$B$17, 2, FALSE)&gt;2)), OR(INT(F48)&lt;10, INT(F48)&gt;55)), $Q$5, ""), "") &amp; " " &amp; _xlfn.IFNA(IF(AND(VLOOKUP(D48, 'Selection Lists'!$A$4:$B$17, 2, FALSE)&lt;1.5, INT(F48)&gt;45), $Q$6, ""), "") &amp; " " &amp; _xlfn.IFNA(IF(AND(OR(G48="X",H48="X"), OR(VLOOKUP(D48, 'Selection Lists'!$A$4:$B$17, 2, FALSE)&lt;0.75, INT(F48)&gt;45)), $Q$7, ""), "")</f>
        <v xml:space="preserve">  </v>
      </c>
    </row>
    <row r="49" spans="1:14" x14ac:dyDescent="0.2">
      <c r="A49" s="181">
        <v>16</v>
      </c>
      <c r="B49" s="154" t="s">
        <v>12</v>
      </c>
      <c r="C49" s="30"/>
      <c r="D49" s="31"/>
      <c r="E49" s="32"/>
      <c r="F49" s="33"/>
      <c r="G49" s="45"/>
      <c r="H49" s="34"/>
      <c r="I49" s="34"/>
      <c r="J49" s="34"/>
      <c r="K49" s="34"/>
      <c r="L49" s="173" t="str">
        <f t="shared" si="1"/>
        <v/>
      </c>
      <c r="M49" s="174" t="str">
        <f t="shared" si="2"/>
        <v/>
      </c>
      <c r="N49" s="175" t="str">
        <f>_xlfn.IFNA(IF(OR(L49&gt;50, OR(OR(VLOOKUP(D49,'Selection Lists'!$A$4:$B$17, 2, FALSE)&lt;3/8, VLOOKUP(D49, 'Selection Lists'!$A$4:$B$17, 2, FALSE)&gt;2)), OR(INT(F49)&lt;10, INT(F49)&gt;55)), $Q$5, ""), "") &amp; " " &amp; _xlfn.IFNA(IF(AND(VLOOKUP(D49, 'Selection Lists'!$A$4:$B$17, 2, FALSE)&lt;1.5, INT(F49)&gt;45), $Q$6, ""), "") &amp; " " &amp; _xlfn.IFNA(IF(AND(OR(G49="X",H49="X"), OR(VLOOKUP(D49, 'Selection Lists'!$A$4:$B$17, 2, FALSE)&lt;0.75, INT(F49)&gt;45)), $Q$7, ""), "")</f>
        <v xml:space="preserve">  </v>
      </c>
    </row>
    <row r="50" spans="1:14" x14ac:dyDescent="0.2">
      <c r="A50" s="182"/>
      <c r="B50" s="156" t="s">
        <v>13</v>
      </c>
      <c r="C50" s="26"/>
      <c r="D50" s="27"/>
      <c r="E50" s="26"/>
      <c r="F50" s="28"/>
      <c r="G50" s="46"/>
      <c r="H50" s="29"/>
      <c r="I50" s="29"/>
      <c r="J50" s="29"/>
      <c r="K50" s="29"/>
      <c r="L50" s="176" t="str">
        <f t="shared" si="1"/>
        <v/>
      </c>
      <c r="M50" s="177" t="str">
        <f t="shared" si="2"/>
        <v/>
      </c>
      <c r="N50" s="175" t="str">
        <f>_xlfn.IFNA(IF(OR(L50&gt;50, OR(OR(VLOOKUP(D50,'Selection Lists'!$A$4:$B$17, 2, FALSE)&lt;3/8, VLOOKUP(D50, 'Selection Lists'!$A$4:$B$17, 2, FALSE)&gt;2)), OR(INT(F50)&lt;10, INT(F50)&gt;55)), $Q$5, ""), "") &amp; " " &amp; _xlfn.IFNA(IF(AND(VLOOKUP(D50, 'Selection Lists'!$A$4:$B$17, 2, FALSE)&lt;1.5, INT(F50)&gt;45), $Q$6, ""), "") &amp; " " &amp; _xlfn.IFNA(IF(AND(OR(G50="X",H50="X"), OR(VLOOKUP(D50, 'Selection Lists'!$A$4:$B$17, 2, FALSE)&lt;0.75, INT(F50)&gt;45)), $Q$7, ""), "")</f>
        <v xml:space="preserve">  </v>
      </c>
    </row>
    <row r="51" spans="1:14" ht="13.5" thickBot="1" x14ac:dyDescent="0.25">
      <c r="A51" s="183"/>
      <c r="B51" s="158" t="s">
        <v>14</v>
      </c>
      <c r="C51" s="35"/>
      <c r="D51" s="36"/>
      <c r="E51" s="35"/>
      <c r="F51" s="37"/>
      <c r="G51" s="47"/>
      <c r="H51" s="38"/>
      <c r="I51" s="38"/>
      <c r="J51" s="38"/>
      <c r="K51" s="38"/>
      <c r="L51" s="178" t="str">
        <f t="shared" si="1"/>
        <v/>
      </c>
      <c r="M51" s="179" t="str">
        <f t="shared" si="2"/>
        <v/>
      </c>
      <c r="N51" s="175" t="str">
        <f>_xlfn.IFNA(IF(OR(L51&gt;50, OR(OR(VLOOKUP(D51,'Selection Lists'!$A$4:$B$17, 2, FALSE)&lt;3/8, VLOOKUP(D51, 'Selection Lists'!$A$4:$B$17, 2, FALSE)&gt;2)), OR(INT(F51)&lt;10, INT(F51)&gt;55)), $Q$5, ""), "") &amp; " " &amp; _xlfn.IFNA(IF(AND(VLOOKUP(D51, 'Selection Lists'!$A$4:$B$17, 2, FALSE)&lt;1.5, INT(F51)&gt;45), $Q$6, ""), "") &amp; " " &amp; _xlfn.IFNA(IF(AND(OR(G51="X",H51="X"), OR(VLOOKUP(D51, 'Selection Lists'!$A$4:$B$17, 2, FALSE)&lt;0.75, INT(F51)&gt;45)), $Q$7, ""), "")</f>
        <v xml:space="preserve">  </v>
      </c>
    </row>
    <row r="52" spans="1:14" x14ac:dyDescent="0.2">
      <c r="A52" s="181">
        <v>17</v>
      </c>
      <c r="B52" s="154" t="s">
        <v>12</v>
      </c>
      <c r="C52" s="30"/>
      <c r="D52" s="31"/>
      <c r="E52" s="32"/>
      <c r="F52" s="33"/>
      <c r="G52" s="45"/>
      <c r="H52" s="34"/>
      <c r="I52" s="34"/>
      <c r="J52" s="34"/>
      <c r="K52" s="34"/>
      <c r="L52" s="173" t="str">
        <f t="shared" si="1"/>
        <v/>
      </c>
      <c r="M52" s="174" t="str">
        <f t="shared" si="2"/>
        <v/>
      </c>
      <c r="N52" s="175" t="str">
        <f>_xlfn.IFNA(IF(OR(L52&gt;50, OR(OR(VLOOKUP(D52,'Selection Lists'!$A$4:$B$17, 2, FALSE)&lt;3/8, VLOOKUP(D52, 'Selection Lists'!$A$4:$B$17, 2, FALSE)&gt;2)), OR(INT(F52)&lt;10, INT(F52)&gt;55)), $Q$5, ""), "") &amp; " " &amp; _xlfn.IFNA(IF(AND(VLOOKUP(D52, 'Selection Lists'!$A$4:$B$17, 2, FALSE)&lt;1.5, INT(F52)&gt;45), $Q$6, ""), "") &amp; " " &amp; _xlfn.IFNA(IF(AND(OR(G52="X",H52="X"), OR(VLOOKUP(D52, 'Selection Lists'!$A$4:$B$17, 2, FALSE)&lt;0.75, INT(F52)&gt;45)), $Q$7, ""), "")</f>
        <v xml:space="preserve">  </v>
      </c>
    </row>
    <row r="53" spans="1:14" x14ac:dyDescent="0.2">
      <c r="A53" s="182"/>
      <c r="B53" s="156" t="s">
        <v>13</v>
      </c>
      <c r="C53" s="26"/>
      <c r="D53" s="27"/>
      <c r="E53" s="26"/>
      <c r="F53" s="28"/>
      <c r="G53" s="46"/>
      <c r="H53" s="29"/>
      <c r="I53" s="29"/>
      <c r="J53" s="29"/>
      <c r="K53" s="29"/>
      <c r="L53" s="176" t="str">
        <f t="shared" si="1"/>
        <v/>
      </c>
      <c r="M53" s="177" t="str">
        <f t="shared" si="2"/>
        <v/>
      </c>
      <c r="N53" s="175" t="str">
        <f>_xlfn.IFNA(IF(OR(L53&gt;50, OR(OR(VLOOKUP(D53,'Selection Lists'!$A$4:$B$17, 2, FALSE)&lt;3/8, VLOOKUP(D53, 'Selection Lists'!$A$4:$B$17, 2, FALSE)&gt;2)), OR(INT(F53)&lt;10, INT(F53)&gt;55)), $Q$5, ""), "") &amp; " " &amp; _xlfn.IFNA(IF(AND(VLOOKUP(D53, 'Selection Lists'!$A$4:$B$17, 2, FALSE)&lt;1.5, INT(F53)&gt;45), $Q$6, ""), "") &amp; " " &amp; _xlfn.IFNA(IF(AND(OR(G53="X",H53="X"), OR(VLOOKUP(D53, 'Selection Lists'!$A$4:$B$17, 2, FALSE)&lt;0.75, INT(F53)&gt;45)), $Q$7, ""), "")</f>
        <v xml:space="preserve">  </v>
      </c>
    </row>
    <row r="54" spans="1:14" ht="13.5" thickBot="1" x14ac:dyDescent="0.25">
      <c r="A54" s="183"/>
      <c r="B54" s="158" t="s">
        <v>14</v>
      </c>
      <c r="C54" s="35"/>
      <c r="D54" s="36"/>
      <c r="E54" s="35"/>
      <c r="F54" s="37"/>
      <c r="G54" s="47"/>
      <c r="H54" s="38"/>
      <c r="I54" s="38"/>
      <c r="J54" s="38"/>
      <c r="K54" s="38"/>
      <c r="L54" s="178" t="str">
        <f t="shared" si="1"/>
        <v/>
      </c>
      <c r="M54" s="179" t="str">
        <f t="shared" si="2"/>
        <v/>
      </c>
      <c r="N54" s="175" t="str">
        <f>_xlfn.IFNA(IF(OR(L54&gt;50, OR(OR(VLOOKUP(D54,'Selection Lists'!$A$4:$B$17, 2, FALSE)&lt;3/8, VLOOKUP(D54, 'Selection Lists'!$A$4:$B$17, 2, FALSE)&gt;2)), OR(INT(F54)&lt;10, INT(F54)&gt;55)), $Q$5, ""), "") &amp; " " &amp; _xlfn.IFNA(IF(AND(VLOOKUP(D54, 'Selection Lists'!$A$4:$B$17, 2, FALSE)&lt;1.5, INT(F54)&gt;45), $Q$6, ""), "") &amp; " " &amp; _xlfn.IFNA(IF(AND(OR(G54="X",H54="X"), OR(VLOOKUP(D54, 'Selection Lists'!$A$4:$B$17, 2, FALSE)&lt;0.75, INT(F54)&gt;45)), $Q$7, ""), "")</f>
        <v xml:space="preserve">  </v>
      </c>
    </row>
    <row r="55" spans="1:14" x14ac:dyDescent="0.2">
      <c r="A55" s="181">
        <v>18</v>
      </c>
      <c r="B55" s="154" t="s">
        <v>12</v>
      </c>
      <c r="C55" s="30"/>
      <c r="D55" s="31"/>
      <c r="E55" s="32"/>
      <c r="F55" s="33"/>
      <c r="G55" s="45"/>
      <c r="H55" s="34"/>
      <c r="I55" s="34"/>
      <c r="J55" s="34"/>
      <c r="K55" s="34"/>
      <c r="L55" s="173" t="str">
        <f t="shared" si="1"/>
        <v/>
      </c>
      <c r="M55" s="174" t="str">
        <f t="shared" si="2"/>
        <v/>
      </c>
      <c r="N55" s="175" t="str">
        <f>_xlfn.IFNA(IF(OR(L55&gt;50, OR(OR(VLOOKUP(D55,'Selection Lists'!$A$4:$B$17, 2, FALSE)&lt;3/8, VLOOKUP(D55, 'Selection Lists'!$A$4:$B$17, 2, FALSE)&gt;2)), OR(INT(F55)&lt;10, INT(F55)&gt;55)), $Q$5, ""), "") &amp; " " &amp; _xlfn.IFNA(IF(AND(VLOOKUP(D55, 'Selection Lists'!$A$4:$B$17, 2, FALSE)&lt;1.5, INT(F55)&gt;45), $Q$6, ""), "") &amp; " " &amp; _xlfn.IFNA(IF(AND(OR(G55="X",H55="X"), OR(VLOOKUP(D55, 'Selection Lists'!$A$4:$B$17, 2, FALSE)&lt;0.75, INT(F55)&gt;45)), $Q$7, ""), "")</f>
        <v xml:space="preserve">  </v>
      </c>
    </row>
    <row r="56" spans="1:14" x14ac:dyDescent="0.2">
      <c r="A56" s="182"/>
      <c r="B56" s="156" t="s">
        <v>13</v>
      </c>
      <c r="C56" s="26"/>
      <c r="D56" s="27"/>
      <c r="E56" s="26"/>
      <c r="F56" s="28"/>
      <c r="G56" s="46"/>
      <c r="H56" s="29"/>
      <c r="I56" s="29"/>
      <c r="J56" s="29"/>
      <c r="K56" s="29"/>
      <c r="L56" s="176" t="str">
        <f t="shared" si="1"/>
        <v/>
      </c>
      <c r="M56" s="177" t="str">
        <f t="shared" si="2"/>
        <v/>
      </c>
      <c r="N56" s="175" t="str">
        <f>_xlfn.IFNA(IF(OR(L56&gt;50, OR(OR(VLOOKUP(D56,'Selection Lists'!$A$4:$B$17, 2, FALSE)&lt;3/8, VLOOKUP(D56, 'Selection Lists'!$A$4:$B$17, 2, FALSE)&gt;2)), OR(INT(F56)&lt;10, INT(F56)&gt;55)), $Q$5, ""), "") &amp; " " &amp; _xlfn.IFNA(IF(AND(VLOOKUP(D56, 'Selection Lists'!$A$4:$B$17, 2, FALSE)&lt;1.5, INT(F56)&gt;45), $Q$6, ""), "") &amp; " " &amp; _xlfn.IFNA(IF(AND(OR(G56="X",H56="X"), OR(VLOOKUP(D56, 'Selection Lists'!$A$4:$B$17, 2, FALSE)&lt;0.75, INT(F56)&gt;45)), $Q$7, ""), "")</f>
        <v xml:space="preserve">  </v>
      </c>
    </row>
    <row r="57" spans="1:14" ht="13.5" thickBot="1" x14ac:dyDescent="0.25">
      <c r="A57" s="183"/>
      <c r="B57" s="158" t="s">
        <v>14</v>
      </c>
      <c r="C57" s="35"/>
      <c r="D57" s="36"/>
      <c r="E57" s="35"/>
      <c r="F57" s="37"/>
      <c r="G57" s="47"/>
      <c r="H57" s="38"/>
      <c r="I57" s="38"/>
      <c r="J57" s="38"/>
      <c r="K57" s="38"/>
      <c r="L57" s="178" t="str">
        <f t="shared" si="1"/>
        <v/>
      </c>
      <c r="M57" s="179" t="str">
        <f t="shared" si="2"/>
        <v/>
      </c>
      <c r="N57" s="175" t="str">
        <f>_xlfn.IFNA(IF(OR(L57&gt;50, OR(OR(VLOOKUP(D57,'Selection Lists'!$A$4:$B$17, 2, FALSE)&lt;3/8, VLOOKUP(D57, 'Selection Lists'!$A$4:$B$17, 2, FALSE)&gt;2)), OR(INT(F57)&lt;10, INT(F57)&gt;55)), $Q$5, ""), "") &amp; " " &amp; _xlfn.IFNA(IF(AND(VLOOKUP(D57, 'Selection Lists'!$A$4:$B$17, 2, FALSE)&lt;1.5, INT(F57)&gt;45), $Q$6, ""), "") &amp; " " &amp; _xlfn.IFNA(IF(AND(OR(G57="X",H57="X"), OR(VLOOKUP(D57, 'Selection Lists'!$A$4:$B$17, 2, FALSE)&lt;0.75, INT(F57)&gt;45)), $Q$7, ""), "")</f>
        <v xml:space="preserve">  </v>
      </c>
    </row>
    <row r="58" spans="1:14" x14ac:dyDescent="0.2">
      <c r="A58" s="181">
        <v>19</v>
      </c>
      <c r="B58" s="154" t="s">
        <v>12</v>
      </c>
      <c r="C58" s="30"/>
      <c r="D58" s="31"/>
      <c r="E58" s="32"/>
      <c r="F58" s="33"/>
      <c r="G58" s="45"/>
      <c r="H58" s="34"/>
      <c r="I58" s="34"/>
      <c r="J58" s="34"/>
      <c r="K58" s="34"/>
      <c r="L58" s="173" t="str">
        <f t="shared" si="1"/>
        <v/>
      </c>
      <c r="M58" s="174" t="str">
        <f t="shared" si="2"/>
        <v/>
      </c>
      <c r="N58" s="175" t="str">
        <f>_xlfn.IFNA(IF(OR(L58&gt;50, OR(OR(VLOOKUP(D58,'Selection Lists'!$A$4:$B$17, 2, FALSE)&lt;3/8, VLOOKUP(D58, 'Selection Lists'!$A$4:$B$17, 2, FALSE)&gt;2)), OR(INT(F58)&lt;10, INT(F58)&gt;55)), $Q$5, ""), "") &amp; " " &amp; _xlfn.IFNA(IF(AND(VLOOKUP(D58, 'Selection Lists'!$A$4:$B$17, 2, FALSE)&lt;1.5, INT(F58)&gt;45), $Q$6, ""), "") &amp; " " &amp; _xlfn.IFNA(IF(AND(OR(G58="X",H58="X"), OR(VLOOKUP(D58, 'Selection Lists'!$A$4:$B$17, 2, FALSE)&lt;0.75, INT(F58)&gt;45)), $Q$7, ""), "")</f>
        <v xml:space="preserve">  </v>
      </c>
    </row>
    <row r="59" spans="1:14" x14ac:dyDescent="0.2">
      <c r="A59" s="182"/>
      <c r="B59" s="156" t="s">
        <v>13</v>
      </c>
      <c r="C59" s="26"/>
      <c r="D59" s="27"/>
      <c r="E59" s="26"/>
      <c r="F59" s="28"/>
      <c r="G59" s="46"/>
      <c r="H59" s="29"/>
      <c r="I59" s="29"/>
      <c r="J59" s="29"/>
      <c r="K59" s="29"/>
      <c r="L59" s="176" t="str">
        <f t="shared" si="1"/>
        <v/>
      </c>
      <c r="M59" s="177" t="str">
        <f t="shared" si="2"/>
        <v/>
      </c>
      <c r="N59" s="175" t="str">
        <f>_xlfn.IFNA(IF(OR(L59&gt;50, OR(OR(VLOOKUP(D59,'Selection Lists'!$A$4:$B$17, 2, FALSE)&lt;3/8, VLOOKUP(D59, 'Selection Lists'!$A$4:$B$17, 2, FALSE)&gt;2)), OR(INT(F59)&lt;10, INT(F59)&gt;55)), $Q$5, ""), "") &amp; " " &amp; _xlfn.IFNA(IF(AND(VLOOKUP(D59, 'Selection Lists'!$A$4:$B$17, 2, FALSE)&lt;1.5, INT(F59)&gt;45), $Q$6, ""), "") &amp; " " &amp; _xlfn.IFNA(IF(AND(OR(G59="X",H59="X"), OR(VLOOKUP(D59, 'Selection Lists'!$A$4:$B$17, 2, FALSE)&lt;0.75, INT(F59)&gt;45)), $Q$7, ""), "")</f>
        <v xml:space="preserve">  </v>
      </c>
    </row>
    <row r="60" spans="1:14" ht="13.5" thickBot="1" x14ac:dyDescent="0.25">
      <c r="A60" s="183"/>
      <c r="B60" s="158" t="s">
        <v>14</v>
      </c>
      <c r="C60" s="35"/>
      <c r="D60" s="36"/>
      <c r="E60" s="35"/>
      <c r="F60" s="37"/>
      <c r="G60" s="47"/>
      <c r="H60" s="38"/>
      <c r="I60" s="38"/>
      <c r="J60" s="38"/>
      <c r="K60" s="38"/>
      <c r="L60" s="178" t="str">
        <f t="shared" si="1"/>
        <v/>
      </c>
      <c r="M60" s="179" t="str">
        <f t="shared" si="2"/>
        <v/>
      </c>
      <c r="N60" s="175" t="str">
        <f>_xlfn.IFNA(IF(OR(L60&gt;50, OR(OR(VLOOKUP(D60,'Selection Lists'!$A$4:$B$17, 2, FALSE)&lt;3/8, VLOOKUP(D60, 'Selection Lists'!$A$4:$B$17, 2, FALSE)&gt;2)), OR(INT(F60)&lt;10, INT(F60)&gt;55)), $Q$5, ""), "") &amp; " " &amp; _xlfn.IFNA(IF(AND(VLOOKUP(D60, 'Selection Lists'!$A$4:$B$17, 2, FALSE)&lt;1.5, INT(F60)&gt;45), $Q$6, ""), "") &amp; " " &amp; _xlfn.IFNA(IF(AND(OR(G60="X",H60="X"), OR(VLOOKUP(D60, 'Selection Lists'!$A$4:$B$17, 2, FALSE)&lt;0.75, INT(F60)&gt;45)), $Q$7, ""), "")</f>
        <v xml:space="preserve">  </v>
      </c>
    </row>
    <row r="61" spans="1:14" x14ac:dyDescent="0.2">
      <c r="A61" s="181">
        <v>20</v>
      </c>
      <c r="B61" s="154" t="s">
        <v>12</v>
      </c>
      <c r="C61" s="30"/>
      <c r="D61" s="31"/>
      <c r="E61" s="32"/>
      <c r="F61" s="33"/>
      <c r="G61" s="45"/>
      <c r="H61" s="34"/>
      <c r="I61" s="34"/>
      <c r="J61" s="34"/>
      <c r="K61" s="34"/>
      <c r="L61" s="173" t="str">
        <f t="shared" si="1"/>
        <v/>
      </c>
      <c r="M61" s="174" t="str">
        <f t="shared" si="2"/>
        <v/>
      </c>
      <c r="N61" s="175" t="str">
        <f>_xlfn.IFNA(IF(OR(L61&gt;50, OR(OR(VLOOKUP(D61,'Selection Lists'!$A$4:$B$17, 2, FALSE)&lt;3/8, VLOOKUP(D61, 'Selection Lists'!$A$4:$B$17, 2, FALSE)&gt;2)), OR(INT(F61)&lt;10, INT(F61)&gt;55)), $Q$5, ""), "") &amp; " " &amp; _xlfn.IFNA(IF(AND(VLOOKUP(D61, 'Selection Lists'!$A$4:$B$17, 2, FALSE)&lt;1.5, INT(F61)&gt;45), $Q$6, ""), "") &amp; " " &amp; _xlfn.IFNA(IF(AND(OR(G61="X",H61="X"), OR(VLOOKUP(D61, 'Selection Lists'!$A$4:$B$17, 2, FALSE)&lt;0.75, INT(F61)&gt;45)), $Q$7, ""), "")</f>
        <v xml:space="preserve">  </v>
      </c>
    </row>
    <row r="62" spans="1:14" x14ac:dyDescent="0.2">
      <c r="A62" s="182"/>
      <c r="B62" s="156" t="s">
        <v>13</v>
      </c>
      <c r="C62" s="26"/>
      <c r="D62" s="27"/>
      <c r="E62" s="26"/>
      <c r="F62" s="28"/>
      <c r="G62" s="46"/>
      <c r="H62" s="29"/>
      <c r="I62" s="29"/>
      <c r="J62" s="29"/>
      <c r="K62" s="29"/>
      <c r="L62" s="176" t="str">
        <f t="shared" si="1"/>
        <v/>
      </c>
      <c r="M62" s="177" t="str">
        <f t="shared" si="2"/>
        <v/>
      </c>
      <c r="N62" s="175" t="str">
        <f>_xlfn.IFNA(IF(OR(L62&gt;50, OR(OR(VLOOKUP(D62,'Selection Lists'!$A$4:$B$17, 2, FALSE)&lt;3/8, VLOOKUP(D62, 'Selection Lists'!$A$4:$B$17, 2, FALSE)&gt;2)), OR(INT(F62)&lt;10, INT(F62)&gt;55)), $Q$5, ""), "") &amp; " " &amp; _xlfn.IFNA(IF(AND(VLOOKUP(D62, 'Selection Lists'!$A$4:$B$17, 2, FALSE)&lt;1.5, INT(F62)&gt;45), $Q$6, ""), "") &amp; " " &amp; _xlfn.IFNA(IF(AND(OR(G62="X",H62="X"), OR(VLOOKUP(D62, 'Selection Lists'!$A$4:$B$17, 2, FALSE)&lt;0.75, INT(F62)&gt;45)), $Q$7, ""), "")</f>
        <v xml:space="preserve">  </v>
      </c>
    </row>
    <row r="63" spans="1:14" ht="13.5" thickBot="1" x14ac:dyDescent="0.25">
      <c r="A63" s="183"/>
      <c r="B63" s="158" t="s">
        <v>14</v>
      </c>
      <c r="C63" s="35"/>
      <c r="D63" s="36"/>
      <c r="E63" s="35"/>
      <c r="F63" s="37"/>
      <c r="G63" s="47"/>
      <c r="H63" s="38"/>
      <c r="I63" s="38"/>
      <c r="J63" s="38"/>
      <c r="K63" s="38"/>
      <c r="L63" s="178" t="str">
        <f t="shared" si="1"/>
        <v/>
      </c>
      <c r="M63" s="179" t="str">
        <f t="shared" si="2"/>
        <v/>
      </c>
      <c r="N63" s="175" t="str">
        <f>_xlfn.IFNA(IF(OR(L63&gt;50, OR(OR(VLOOKUP(D63,'Selection Lists'!$A$4:$B$17, 2, FALSE)&lt;3/8, VLOOKUP(D63, 'Selection Lists'!$A$4:$B$17, 2, FALSE)&gt;2)), OR(INT(F63)&lt;10, INT(F63)&gt;55)), $Q$5, ""), "") &amp; " " &amp; _xlfn.IFNA(IF(AND(VLOOKUP(D63, 'Selection Lists'!$A$4:$B$17, 2, FALSE)&lt;1.5, INT(F63)&gt;45), $Q$6, ""), "") &amp; " " &amp; _xlfn.IFNA(IF(AND(OR(G63="X",H63="X"), OR(VLOOKUP(D63, 'Selection Lists'!$A$4:$B$17, 2, FALSE)&lt;0.75, INT(F63)&gt;45)), $Q$7, ""), "")</f>
        <v xml:space="preserve">  </v>
      </c>
    </row>
    <row r="64" spans="1:14" x14ac:dyDescent="0.2">
      <c r="A64" s="181">
        <v>21</v>
      </c>
      <c r="B64" s="154" t="s">
        <v>12</v>
      </c>
      <c r="C64" s="30"/>
      <c r="D64" s="31"/>
      <c r="E64" s="32"/>
      <c r="F64" s="33"/>
      <c r="G64" s="45"/>
      <c r="H64" s="34"/>
      <c r="I64" s="34"/>
      <c r="J64" s="34"/>
      <c r="K64" s="34"/>
      <c r="L64" s="173" t="str">
        <f t="shared" si="1"/>
        <v/>
      </c>
      <c r="M64" s="174" t="str">
        <f t="shared" si="2"/>
        <v/>
      </c>
      <c r="N64" s="175" t="str">
        <f>_xlfn.IFNA(IF(OR(L64&gt;50, OR(OR(VLOOKUP(D64,'Selection Lists'!$A$4:$B$17, 2, FALSE)&lt;3/8, VLOOKUP(D64, 'Selection Lists'!$A$4:$B$17, 2, FALSE)&gt;2)), OR(INT(F64)&lt;10, INT(F64)&gt;55)), $Q$5, ""), "") &amp; " " &amp; _xlfn.IFNA(IF(AND(VLOOKUP(D64, 'Selection Lists'!$A$4:$B$17, 2, FALSE)&lt;1.5, INT(F64)&gt;45), $Q$6, ""), "") &amp; " " &amp; _xlfn.IFNA(IF(AND(OR(G64="X",H64="X"), OR(VLOOKUP(D64, 'Selection Lists'!$A$4:$B$17, 2, FALSE)&lt;0.75, INT(F64)&gt;45)), $Q$7, ""), "")</f>
        <v xml:space="preserve">  </v>
      </c>
    </row>
    <row r="65" spans="1:14" x14ac:dyDescent="0.2">
      <c r="A65" s="182"/>
      <c r="B65" s="156" t="s">
        <v>13</v>
      </c>
      <c r="C65" s="26"/>
      <c r="D65" s="27"/>
      <c r="E65" s="26"/>
      <c r="F65" s="28"/>
      <c r="G65" s="46"/>
      <c r="H65" s="29"/>
      <c r="I65" s="29"/>
      <c r="J65" s="29"/>
      <c r="K65" s="29"/>
      <c r="L65" s="176" t="str">
        <f t="shared" si="1"/>
        <v/>
      </c>
      <c r="M65" s="177" t="str">
        <f t="shared" si="2"/>
        <v/>
      </c>
      <c r="N65" s="175" t="str">
        <f>_xlfn.IFNA(IF(OR(L65&gt;50, OR(OR(VLOOKUP(D65,'Selection Lists'!$A$4:$B$17, 2, FALSE)&lt;3/8, VLOOKUP(D65, 'Selection Lists'!$A$4:$B$17, 2, FALSE)&gt;2)), OR(INT(F65)&lt;10, INT(F65)&gt;55)), $Q$5, ""), "") &amp; " " &amp; _xlfn.IFNA(IF(AND(VLOOKUP(D65, 'Selection Lists'!$A$4:$B$17, 2, FALSE)&lt;1.5, INT(F65)&gt;45), $Q$6, ""), "") &amp; " " &amp; _xlfn.IFNA(IF(AND(OR(G65="X",H65="X"), OR(VLOOKUP(D65, 'Selection Lists'!$A$4:$B$17, 2, FALSE)&lt;0.75, INT(F65)&gt;45)), $Q$7, ""), "")</f>
        <v xml:space="preserve">  </v>
      </c>
    </row>
    <row r="66" spans="1:14" ht="13.5" thickBot="1" x14ac:dyDescent="0.25">
      <c r="A66" s="183"/>
      <c r="B66" s="158" t="s">
        <v>14</v>
      </c>
      <c r="C66" s="35"/>
      <c r="D66" s="36"/>
      <c r="E66" s="35"/>
      <c r="F66" s="37"/>
      <c r="G66" s="47"/>
      <c r="H66" s="38"/>
      <c r="I66" s="38"/>
      <c r="J66" s="38"/>
      <c r="K66" s="38"/>
      <c r="L66" s="178" t="str">
        <f t="shared" si="1"/>
        <v/>
      </c>
      <c r="M66" s="179" t="str">
        <f t="shared" si="2"/>
        <v/>
      </c>
      <c r="N66" s="175" t="str">
        <f>_xlfn.IFNA(IF(OR(L66&gt;50, OR(OR(VLOOKUP(D66,'Selection Lists'!$A$4:$B$17, 2, FALSE)&lt;3/8, VLOOKUP(D66, 'Selection Lists'!$A$4:$B$17, 2, FALSE)&gt;2)), OR(INT(F66)&lt;10, INT(F66)&gt;55)), $Q$5, ""), "") &amp; " " &amp; _xlfn.IFNA(IF(AND(VLOOKUP(D66, 'Selection Lists'!$A$4:$B$17, 2, FALSE)&lt;1.5, INT(F66)&gt;45), $Q$6, ""), "") &amp; " " &amp; _xlfn.IFNA(IF(AND(OR(G66="X",H66="X"), OR(VLOOKUP(D66, 'Selection Lists'!$A$4:$B$17, 2, FALSE)&lt;0.75, INT(F66)&gt;45)), $Q$7, ""), "")</f>
        <v xml:space="preserve">  </v>
      </c>
    </row>
    <row r="67" spans="1:14" x14ac:dyDescent="0.2">
      <c r="A67" s="181">
        <v>22</v>
      </c>
      <c r="B67" s="154" t="s">
        <v>12</v>
      </c>
      <c r="C67" s="30"/>
      <c r="D67" s="31"/>
      <c r="E67" s="32"/>
      <c r="F67" s="33"/>
      <c r="G67" s="45"/>
      <c r="H67" s="34"/>
      <c r="I67" s="34"/>
      <c r="J67" s="34"/>
      <c r="K67" s="34"/>
      <c r="L67" s="173" t="str">
        <f t="shared" si="1"/>
        <v/>
      </c>
      <c r="M67" s="174" t="str">
        <f t="shared" si="2"/>
        <v/>
      </c>
      <c r="N67" s="175" t="str">
        <f>_xlfn.IFNA(IF(OR(L67&gt;50, OR(OR(VLOOKUP(D67,'Selection Lists'!$A$4:$B$17, 2, FALSE)&lt;3/8, VLOOKUP(D67, 'Selection Lists'!$A$4:$B$17, 2, FALSE)&gt;2)), OR(INT(F67)&lt;10, INT(F67)&gt;55)), $Q$5, ""), "") &amp; " " &amp; _xlfn.IFNA(IF(AND(VLOOKUP(D67, 'Selection Lists'!$A$4:$B$17, 2, FALSE)&lt;1.5, INT(F67)&gt;45), $Q$6, ""), "") &amp; " " &amp; _xlfn.IFNA(IF(AND(OR(G67="X",H67="X"), OR(VLOOKUP(D67, 'Selection Lists'!$A$4:$B$17, 2, FALSE)&lt;0.75, INT(F67)&gt;45)), $Q$7, ""), "")</f>
        <v xml:space="preserve">  </v>
      </c>
    </row>
    <row r="68" spans="1:14" x14ac:dyDescent="0.2">
      <c r="A68" s="182"/>
      <c r="B68" s="156" t="s">
        <v>13</v>
      </c>
      <c r="C68" s="26"/>
      <c r="D68" s="27"/>
      <c r="E68" s="26"/>
      <c r="F68" s="28"/>
      <c r="G68" s="46"/>
      <c r="H68" s="29"/>
      <c r="I68" s="29"/>
      <c r="J68" s="29"/>
      <c r="K68" s="29"/>
      <c r="L68" s="176" t="str">
        <f t="shared" si="1"/>
        <v/>
      </c>
      <c r="M68" s="177" t="str">
        <f t="shared" ref="M68:M93" si="3">IFERROR((F68/D68)*(1+IF(G68="X", 0.75, 0) +IF(H68="X", 0.5, 0) + IF(I68="X", 0.25, 0) + IF(J68="X", 0.25, 0) + IF(K68="X", 0.25, 0)+IF(F68&gt;45, 0.125, 0)), "")</f>
        <v/>
      </c>
      <c r="N68" s="175" t="str">
        <f>_xlfn.IFNA(IF(OR(L68&gt;50, OR(OR(VLOOKUP(D68,'Selection Lists'!$A$4:$B$17, 2, FALSE)&lt;3/8, VLOOKUP(D68, 'Selection Lists'!$A$4:$B$17, 2, FALSE)&gt;2)), OR(INT(F68)&lt;10, INT(F68)&gt;55)), $Q$5, ""), "") &amp; " " &amp; _xlfn.IFNA(IF(AND(VLOOKUP(D68, 'Selection Lists'!$A$4:$B$17, 2, FALSE)&lt;1.5, INT(F68)&gt;45), $Q$6, ""), "") &amp; " " &amp; _xlfn.IFNA(IF(AND(OR(G68="X",H68="X"), OR(VLOOKUP(D68, 'Selection Lists'!$A$4:$B$17, 2, FALSE)&lt;0.75, INT(F68)&gt;45)), $Q$7, ""), "")</f>
        <v xml:space="preserve">  </v>
      </c>
    </row>
    <row r="69" spans="1:14" ht="13.5" thickBot="1" x14ac:dyDescent="0.25">
      <c r="A69" s="183"/>
      <c r="B69" s="158" t="s">
        <v>14</v>
      </c>
      <c r="C69" s="35"/>
      <c r="D69" s="36"/>
      <c r="E69" s="35"/>
      <c r="F69" s="37"/>
      <c r="G69" s="47"/>
      <c r="H69" s="38"/>
      <c r="I69" s="38"/>
      <c r="J69" s="38"/>
      <c r="K69" s="38"/>
      <c r="L69" s="178" t="str">
        <f t="shared" ref="L69:L93" si="4">IFERROR((F69/D69)*(1+IF(G69="X", 0.75, 0) +IF(H69="X", 0.5, 0) + IF(I69="X", 0.25, 0) +IF(F69&gt;45, 0.125, 0)), "")</f>
        <v/>
      </c>
      <c r="M69" s="179" t="str">
        <f t="shared" si="3"/>
        <v/>
      </c>
      <c r="N69" s="175" t="str">
        <f>_xlfn.IFNA(IF(OR(L69&gt;50, OR(OR(VLOOKUP(D69,'Selection Lists'!$A$4:$B$17, 2, FALSE)&lt;3/8, VLOOKUP(D69, 'Selection Lists'!$A$4:$B$17, 2, FALSE)&gt;2)), OR(INT(F69)&lt;10, INT(F69)&gt;55)), $Q$5, ""), "") &amp; " " &amp; _xlfn.IFNA(IF(AND(VLOOKUP(D69, 'Selection Lists'!$A$4:$B$17, 2, FALSE)&lt;1.5, INT(F69)&gt;45), $Q$6, ""), "") &amp; " " &amp; _xlfn.IFNA(IF(AND(OR(G69="X",H69="X"), OR(VLOOKUP(D69, 'Selection Lists'!$A$4:$B$17, 2, FALSE)&lt;0.75, INT(F69)&gt;45)), $Q$7, ""), "")</f>
        <v xml:space="preserve">  </v>
      </c>
    </row>
    <row r="70" spans="1:14" x14ac:dyDescent="0.2">
      <c r="A70" s="181">
        <v>23</v>
      </c>
      <c r="B70" s="154" t="s">
        <v>12</v>
      </c>
      <c r="C70" s="30"/>
      <c r="D70" s="31"/>
      <c r="E70" s="32"/>
      <c r="F70" s="33"/>
      <c r="G70" s="45"/>
      <c r="H70" s="34"/>
      <c r="I70" s="34"/>
      <c r="J70" s="34"/>
      <c r="K70" s="34"/>
      <c r="L70" s="173" t="str">
        <f t="shared" si="4"/>
        <v/>
      </c>
      <c r="M70" s="174" t="str">
        <f t="shared" si="3"/>
        <v/>
      </c>
      <c r="N70" s="175" t="str">
        <f>_xlfn.IFNA(IF(OR(L70&gt;50, OR(OR(VLOOKUP(D70,'Selection Lists'!$A$4:$B$17, 2, FALSE)&lt;3/8, VLOOKUP(D70, 'Selection Lists'!$A$4:$B$17, 2, FALSE)&gt;2)), OR(INT(F70)&lt;10, INT(F70)&gt;55)), $Q$5, ""), "") &amp; " " &amp; _xlfn.IFNA(IF(AND(VLOOKUP(D70, 'Selection Lists'!$A$4:$B$17, 2, FALSE)&lt;1.5, INT(F70)&gt;45), $Q$6, ""), "") &amp; " " &amp; _xlfn.IFNA(IF(AND(OR(G70="X",H70="X"), OR(VLOOKUP(D70, 'Selection Lists'!$A$4:$B$17, 2, FALSE)&lt;0.75, INT(F70)&gt;45)), $Q$7, ""), "")</f>
        <v xml:space="preserve">  </v>
      </c>
    </row>
    <row r="71" spans="1:14" x14ac:dyDescent="0.2">
      <c r="A71" s="182"/>
      <c r="B71" s="156" t="s">
        <v>13</v>
      </c>
      <c r="C71" s="26"/>
      <c r="D71" s="27"/>
      <c r="E71" s="26"/>
      <c r="F71" s="28"/>
      <c r="G71" s="46"/>
      <c r="H71" s="29"/>
      <c r="I71" s="29"/>
      <c r="J71" s="29"/>
      <c r="K71" s="29"/>
      <c r="L71" s="176" t="str">
        <f t="shared" si="4"/>
        <v/>
      </c>
      <c r="M71" s="177" t="str">
        <f t="shared" si="3"/>
        <v/>
      </c>
      <c r="N71" s="175" t="str">
        <f>_xlfn.IFNA(IF(OR(L71&gt;50, OR(OR(VLOOKUP(D71,'Selection Lists'!$A$4:$B$17, 2, FALSE)&lt;3/8, VLOOKUP(D71, 'Selection Lists'!$A$4:$B$17, 2, FALSE)&gt;2)), OR(INT(F71)&lt;10, INT(F71)&gt;55)), $Q$5, ""), "") &amp; " " &amp; _xlfn.IFNA(IF(AND(VLOOKUP(D71, 'Selection Lists'!$A$4:$B$17, 2, FALSE)&lt;1.5, INT(F71)&gt;45), $Q$6, ""), "") &amp; " " &amp; _xlfn.IFNA(IF(AND(OR(G71="X",H71="X"), OR(VLOOKUP(D71, 'Selection Lists'!$A$4:$B$17, 2, FALSE)&lt;0.75, INT(F71)&gt;45)), $Q$7, ""), "")</f>
        <v xml:space="preserve">  </v>
      </c>
    </row>
    <row r="72" spans="1:14" ht="13.5" thickBot="1" x14ac:dyDescent="0.25">
      <c r="A72" s="183"/>
      <c r="B72" s="158" t="s">
        <v>14</v>
      </c>
      <c r="C72" s="35"/>
      <c r="D72" s="36"/>
      <c r="E72" s="35"/>
      <c r="F72" s="37"/>
      <c r="G72" s="47"/>
      <c r="H72" s="38"/>
      <c r="I72" s="38"/>
      <c r="J72" s="38"/>
      <c r="K72" s="38"/>
      <c r="L72" s="178" t="str">
        <f t="shared" si="4"/>
        <v/>
      </c>
      <c r="M72" s="179" t="str">
        <f t="shared" si="3"/>
        <v/>
      </c>
      <c r="N72" s="175" t="str">
        <f>_xlfn.IFNA(IF(OR(L72&gt;50, OR(OR(VLOOKUP(D72,'Selection Lists'!$A$4:$B$17, 2, FALSE)&lt;3/8, VLOOKUP(D72, 'Selection Lists'!$A$4:$B$17, 2, FALSE)&gt;2)), OR(INT(F72)&lt;10, INT(F72)&gt;55)), $Q$5, ""), "") &amp; " " &amp; _xlfn.IFNA(IF(AND(VLOOKUP(D72, 'Selection Lists'!$A$4:$B$17, 2, FALSE)&lt;1.5, INT(F72)&gt;45), $Q$6, ""), "") &amp; " " &amp; _xlfn.IFNA(IF(AND(OR(G72="X",H72="X"), OR(VLOOKUP(D72, 'Selection Lists'!$A$4:$B$17, 2, FALSE)&lt;0.75, INT(F72)&gt;45)), $Q$7, ""), "")</f>
        <v xml:space="preserve">  </v>
      </c>
    </row>
    <row r="73" spans="1:14" x14ac:dyDescent="0.2">
      <c r="A73" s="181">
        <v>24</v>
      </c>
      <c r="B73" s="154" t="s">
        <v>12</v>
      </c>
      <c r="C73" s="30"/>
      <c r="D73" s="31"/>
      <c r="E73" s="32"/>
      <c r="F73" s="33"/>
      <c r="G73" s="45"/>
      <c r="H73" s="34"/>
      <c r="I73" s="34"/>
      <c r="J73" s="34"/>
      <c r="K73" s="34"/>
      <c r="L73" s="173" t="str">
        <f t="shared" si="4"/>
        <v/>
      </c>
      <c r="M73" s="174" t="str">
        <f t="shared" si="3"/>
        <v/>
      </c>
      <c r="N73" s="175" t="str">
        <f>_xlfn.IFNA(IF(OR(L73&gt;50, OR(OR(VLOOKUP(D73,'Selection Lists'!$A$4:$B$17, 2, FALSE)&lt;3/8, VLOOKUP(D73, 'Selection Lists'!$A$4:$B$17, 2, FALSE)&gt;2)), OR(INT(F73)&lt;10, INT(F73)&gt;55)), $Q$5, ""), "") &amp; " " &amp; _xlfn.IFNA(IF(AND(VLOOKUP(D73, 'Selection Lists'!$A$4:$B$17, 2, FALSE)&lt;1.5, INT(F73)&gt;45), $Q$6, ""), "") &amp; " " &amp; _xlfn.IFNA(IF(AND(OR(G73="X",H73="X"), OR(VLOOKUP(D73, 'Selection Lists'!$A$4:$B$17, 2, FALSE)&lt;0.75, INT(F73)&gt;45)), $Q$7, ""), "")</f>
        <v xml:space="preserve">  </v>
      </c>
    </row>
    <row r="74" spans="1:14" x14ac:dyDescent="0.2">
      <c r="A74" s="182"/>
      <c r="B74" s="156" t="s">
        <v>13</v>
      </c>
      <c r="C74" s="26"/>
      <c r="D74" s="27"/>
      <c r="E74" s="26"/>
      <c r="F74" s="28"/>
      <c r="G74" s="46"/>
      <c r="H74" s="29"/>
      <c r="I74" s="29"/>
      <c r="J74" s="29"/>
      <c r="K74" s="29"/>
      <c r="L74" s="176" t="str">
        <f t="shared" si="4"/>
        <v/>
      </c>
      <c r="M74" s="177" t="str">
        <f t="shared" si="3"/>
        <v/>
      </c>
      <c r="N74" s="175" t="str">
        <f>_xlfn.IFNA(IF(OR(L74&gt;50, OR(OR(VLOOKUP(D74,'Selection Lists'!$A$4:$B$17, 2, FALSE)&lt;3/8, VLOOKUP(D74, 'Selection Lists'!$A$4:$B$17, 2, FALSE)&gt;2)), OR(INT(F74)&lt;10, INT(F74)&gt;55)), $Q$5, ""), "") &amp; " " &amp; _xlfn.IFNA(IF(AND(VLOOKUP(D74, 'Selection Lists'!$A$4:$B$17, 2, FALSE)&lt;1.5, INT(F74)&gt;45), $Q$6, ""), "") &amp; " " &amp; _xlfn.IFNA(IF(AND(OR(G74="X",H74="X"), OR(VLOOKUP(D74, 'Selection Lists'!$A$4:$B$17, 2, FALSE)&lt;0.75, INT(F74)&gt;45)), $Q$7, ""), "")</f>
        <v xml:space="preserve">  </v>
      </c>
    </row>
    <row r="75" spans="1:14" ht="13.5" thickBot="1" x14ac:dyDescent="0.25">
      <c r="A75" s="183"/>
      <c r="B75" s="158" t="s">
        <v>14</v>
      </c>
      <c r="C75" s="35"/>
      <c r="D75" s="36"/>
      <c r="E75" s="35"/>
      <c r="F75" s="37"/>
      <c r="G75" s="47"/>
      <c r="H75" s="38"/>
      <c r="I75" s="38"/>
      <c r="J75" s="38"/>
      <c r="K75" s="38"/>
      <c r="L75" s="178" t="str">
        <f t="shared" si="4"/>
        <v/>
      </c>
      <c r="M75" s="179" t="str">
        <f t="shared" si="3"/>
        <v/>
      </c>
      <c r="N75" s="175" t="str">
        <f>_xlfn.IFNA(IF(OR(L75&gt;50, OR(OR(VLOOKUP(D75,'Selection Lists'!$A$4:$B$17, 2, FALSE)&lt;3/8, VLOOKUP(D75, 'Selection Lists'!$A$4:$B$17, 2, FALSE)&gt;2)), OR(INT(F75)&lt;10, INT(F75)&gt;55)), $Q$5, ""), "") &amp; " " &amp; _xlfn.IFNA(IF(AND(VLOOKUP(D75, 'Selection Lists'!$A$4:$B$17, 2, FALSE)&lt;1.5, INT(F75)&gt;45), $Q$6, ""), "") &amp; " " &amp; _xlfn.IFNA(IF(AND(OR(G75="X",H75="X"), OR(VLOOKUP(D75, 'Selection Lists'!$A$4:$B$17, 2, FALSE)&lt;0.75, INT(F75)&gt;45)), $Q$7, ""), "")</f>
        <v xml:space="preserve">  </v>
      </c>
    </row>
    <row r="76" spans="1:14" x14ac:dyDescent="0.2">
      <c r="A76" s="181">
        <v>25</v>
      </c>
      <c r="B76" s="154" t="s">
        <v>12</v>
      </c>
      <c r="C76" s="30"/>
      <c r="D76" s="31"/>
      <c r="E76" s="32"/>
      <c r="F76" s="33"/>
      <c r="G76" s="45"/>
      <c r="H76" s="34"/>
      <c r="I76" s="34"/>
      <c r="J76" s="34"/>
      <c r="K76" s="34"/>
      <c r="L76" s="173" t="str">
        <f t="shared" si="4"/>
        <v/>
      </c>
      <c r="M76" s="174" t="str">
        <f t="shared" si="3"/>
        <v/>
      </c>
      <c r="N76" s="175" t="str">
        <f>_xlfn.IFNA(IF(OR(L76&gt;50, OR(OR(VLOOKUP(D76,'Selection Lists'!$A$4:$B$17, 2, FALSE)&lt;3/8, VLOOKUP(D76, 'Selection Lists'!$A$4:$B$17, 2, FALSE)&gt;2)), OR(INT(F76)&lt;10, INT(F76)&gt;55)), $Q$5, ""), "") &amp; " " &amp; _xlfn.IFNA(IF(AND(VLOOKUP(D76, 'Selection Lists'!$A$4:$B$17, 2, FALSE)&lt;1.5, INT(F76)&gt;45), $Q$6, ""), "") &amp; " " &amp; _xlfn.IFNA(IF(AND(OR(G76="X",H76="X"), OR(VLOOKUP(D76, 'Selection Lists'!$A$4:$B$17, 2, FALSE)&lt;0.75, INT(F76)&gt;45)), $Q$7, ""), "")</f>
        <v xml:space="preserve">  </v>
      </c>
    </row>
    <row r="77" spans="1:14" x14ac:dyDescent="0.2">
      <c r="A77" s="182"/>
      <c r="B77" s="156" t="s">
        <v>13</v>
      </c>
      <c r="C77" s="26"/>
      <c r="D77" s="27"/>
      <c r="E77" s="26"/>
      <c r="F77" s="28"/>
      <c r="G77" s="46"/>
      <c r="H77" s="29"/>
      <c r="I77" s="29"/>
      <c r="J77" s="29"/>
      <c r="K77" s="29"/>
      <c r="L77" s="176" t="str">
        <f t="shared" si="4"/>
        <v/>
      </c>
      <c r="M77" s="177" t="str">
        <f t="shared" si="3"/>
        <v/>
      </c>
      <c r="N77" s="175" t="str">
        <f>_xlfn.IFNA(IF(OR(L77&gt;50, OR(OR(VLOOKUP(D77,'Selection Lists'!$A$4:$B$17, 2, FALSE)&lt;3/8, VLOOKUP(D77, 'Selection Lists'!$A$4:$B$17, 2, FALSE)&gt;2)), OR(INT(F77)&lt;10, INT(F77)&gt;55)), $Q$5, ""), "") &amp; " " &amp; _xlfn.IFNA(IF(AND(VLOOKUP(D77, 'Selection Lists'!$A$4:$B$17, 2, FALSE)&lt;1.5, INT(F77)&gt;45), $Q$6, ""), "") &amp; " " &amp; _xlfn.IFNA(IF(AND(OR(G77="X",H77="X"), OR(VLOOKUP(D77, 'Selection Lists'!$A$4:$B$17, 2, FALSE)&lt;0.75, INT(F77)&gt;45)), $Q$7, ""), "")</f>
        <v xml:space="preserve">  </v>
      </c>
    </row>
    <row r="78" spans="1:14" ht="13.5" thickBot="1" x14ac:dyDescent="0.25">
      <c r="A78" s="183"/>
      <c r="B78" s="158" t="s">
        <v>14</v>
      </c>
      <c r="C78" s="35"/>
      <c r="D78" s="36"/>
      <c r="E78" s="35"/>
      <c r="F78" s="37"/>
      <c r="G78" s="47"/>
      <c r="H78" s="38"/>
      <c r="I78" s="38"/>
      <c r="J78" s="38"/>
      <c r="K78" s="38"/>
      <c r="L78" s="178" t="str">
        <f t="shared" si="4"/>
        <v/>
      </c>
      <c r="M78" s="179" t="str">
        <f t="shared" si="3"/>
        <v/>
      </c>
      <c r="N78" s="175" t="str">
        <f>_xlfn.IFNA(IF(OR(L78&gt;50, OR(OR(VLOOKUP(D78,'Selection Lists'!$A$4:$B$17, 2, FALSE)&lt;3/8, VLOOKUP(D78, 'Selection Lists'!$A$4:$B$17, 2, FALSE)&gt;2)), OR(INT(F78)&lt;10, INT(F78)&gt;55)), $Q$5, ""), "") &amp; " " &amp; _xlfn.IFNA(IF(AND(VLOOKUP(D78, 'Selection Lists'!$A$4:$B$17, 2, FALSE)&lt;1.5, INT(F78)&gt;45), $Q$6, ""), "") &amp; " " &amp; _xlfn.IFNA(IF(AND(OR(G78="X",H78="X"), OR(VLOOKUP(D78, 'Selection Lists'!$A$4:$B$17, 2, FALSE)&lt;0.75, INT(F78)&gt;45)), $Q$7, ""), "")</f>
        <v xml:space="preserve">  </v>
      </c>
    </row>
    <row r="79" spans="1:14" x14ac:dyDescent="0.2">
      <c r="A79" s="181">
        <v>26</v>
      </c>
      <c r="B79" s="154" t="s">
        <v>12</v>
      </c>
      <c r="C79" s="30"/>
      <c r="D79" s="31"/>
      <c r="E79" s="32"/>
      <c r="F79" s="33"/>
      <c r="G79" s="45"/>
      <c r="H79" s="34"/>
      <c r="I79" s="34"/>
      <c r="J79" s="34"/>
      <c r="K79" s="34"/>
      <c r="L79" s="173" t="str">
        <f t="shared" si="4"/>
        <v/>
      </c>
      <c r="M79" s="174" t="str">
        <f t="shared" si="3"/>
        <v/>
      </c>
      <c r="N79" s="175" t="str">
        <f>_xlfn.IFNA(IF(OR(L79&gt;50, OR(OR(VLOOKUP(D79,'Selection Lists'!$A$4:$B$17, 2, FALSE)&lt;3/8, VLOOKUP(D79, 'Selection Lists'!$A$4:$B$17, 2, FALSE)&gt;2)), OR(INT(F79)&lt;10, INT(F79)&gt;55)), $Q$5, ""), "") &amp; " " &amp; _xlfn.IFNA(IF(AND(VLOOKUP(D79, 'Selection Lists'!$A$4:$B$17, 2, FALSE)&lt;1.5, INT(F79)&gt;45), $Q$6, ""), "") &amp; " " &amp; _xlfn.IFNA(IF(AND(OR(G79="X",H79="X"), OR(VLOOKUP(D79, 'Selection Lists'!$A$4:$B$17, 2, FALSE)&lt;0.75, INT(F79)&gt;45)), $Q$7, ""), "")</f>
        <v xml:space="preserve">  </v>
      </c>
    </row>
    <row r="80" spans="1:14" x14ac:dyDescent="0.2">
      <c r="A80" s="182"/>
      <c r="B80" s="156" t="s">
        <v>13</v>
      </c>
      <c r="C80" s="26"/>
      <c r="D80" s="27"/>
      <c r="E80" s="26"/>
      <c r="F80" s="28"/>
      <c r="G80" s="46"/>
      <c r="H80" s="29"/>
      <c r="I80" s="29"/>
      <c r="J80" s="29"/>
      <c r="K80" s="29"/>
      <c r="L80" s="176" t="str">
        <f t="shared" si="4"/>
        <v/>
      </c>
      <c r="M80" s="177" t="str">
        <f t="shared" si="3"/>
        <v/>
      </c>
      <c r="N80" s="175" t="str">
        <f>_xlfn.IFNA(IF(OR(L80&gt;50, OR(OR(VLOOKUP(D80,'Selection Lists'!$A$4:$B$17, 2, FALSE)&lt;3/8, VLOOKUP(D80, 'Selection Lists'!$A$4:$B$17, 2, FALSE)&gt;2)), OR(INT(F80)&lt;10, INT(F80)&gt;55)), $Q$5, ""), "") &amp; " " &amp; _xlfn.IFNA(IF(AND(VLOOKUP(D80, 'Selection Lists'!$A$4:$B$17, 2, FALSE)&lt;1.5, INT(F80)&gt;45), $Q$6, ""), "") &amp; " " &amp; _xlfn.IFNA(IF(AND(OR(G80="X",H80="X"), OR(VLOOKUP(D80, 'Selection Lists'!$A$4:$B$17, 2, FALSE)&lt;0.75, INT(F80)&gt;45)), $Q$7, ""), "")</f>
        <v xml:space="preserve">  </v>
      </c>
    </row>
    <row r="81" spans="1:14" ht="13.5" thickBot="1" x14ac:dyDescent="0.25">
      <c r="A81" s="183"/>
      <c r="B81" s="158" t="s">
        <v>14</v>
      </c>
      <c r="C81" s="35"/>
      <c r="D81" s="36"/>
      <c r="E81" s="35"/>
      <c r="F81" s="37"/>
      <c r="G81" s="47"/>
      <c r="H81" s="38"/>
      <c r="I81" s="38"/>
      <c r="J81" s="38"/>
      <c r="K81" s="38"/>
      <c r="L81" s="178" t="str">
        <f t="shared" si="4"/>
        <v/>
      </c>
      <c r="M81" s="179" t="str">
        <f t="shared" si="3"/>
        <v/>
      </c>
      <c r="N81" s="175" t="str">
        <f>_xlfn.IFNA(IF(OR(L81&gt;50, OR(OR(VLOOKUP(D81,'Selection Lists'!$A$4:$B$17, 2, FALSE)&lt;3/8, VLOOKUP(D81, 'Selection Lists'!$A$4:$B$17, 2, FALSE)&gt;2)), OR(INT(F81)&lt;10, INT(F81)&gt;55)), $Q$5, ""), "") &amp; " " &amp; _xlfn.IFNA(IF(AND(VLOOKUP(D81, 'Selection Lists'!$A$4:$B$17, 2, FALSE)&lt;1.5, INT(F81)&gt;45), $Q$6, ""), "") &amp; " " &amp; _xlfn.IFNA(IF(AND(OR(G81="X",H81="X"), OR(VLOOKUP(D81, 'Selection Lists'!$A$4:$B$17, 2, FALSE)&lt;0.75, INT(F81)&gt;45)), $Q$7, ""), "")</f>
        <v xml:space="preserve">  </v>
      </c>
    </row>
    <row r="82" spans="1:14" x14ac:dyDescent="0.2">
      <c r="A82" s="181">
        <v>27</v>
      </c>
      <c r="B82" s="154" t="s">
        <v>12</v>
      </c>
      <c r="C82" s="30"/>
      <c r="D82" s="31"/>
      <c r="E82" s="32"/>
      <c r="F82" s="33"/>
      <c r="G82" s="45"/>
      <c r="H82" s="34"/>
      <c r="I82" s="34"/>
      <c r="J82" s="34"/>
      <c r="K82" s="34"/>
      <c r="L82" s="173" t="str">
        <f t="shared" si="4"/>
        <v/>
      </c>
      <c r="M82" s="174" t="str">
        <f t="shared" si="3"/>
        <v/>
      </c>
      <c r="N82" s="175" t="str">
        <f>_xlfn.IFNA(IF(OR(L82&gt;50, OR(OR(VLOOKUP(D82,'Selection Lists'!$A$4:$B$17, 2, FALSE)&lt;3/8, VLOOKUP(D82, 'Selection Lists'!$A$4:$B$17, 2, FALSE)&gt;2)), OR(INT(F82)&lt;10, INT(F82)&gt;55)), $Q$5, ""), "") &amp; " " &amp; _xlfn.IFNA(IF(AND(VLOOKUP(D82, 'Selection Lists'!$A$4:$B$17, 2, FALSE)&lt;1.5, INT(F82)&gt;45), $Q$6, ""), "") &amp; " " &amp; _xlfn.IFNA(IF(AND(OR(G82="X",H82="X"), OR(VLOOKUP(D82, 'Selection Lists'!$A$4:$B$17, 2, FALSE)&lt;0.75, INT(F82)&gt;45)), $Q$7, ""), "")</f>
        <v xml:space="preserve">  </v>
      </c>
    </row>
    <row r="83" spans="1:14" x14ac:dyDescent="0.2">
      <c r="A83" s="182"/>
      <c r="B83" s="156" t="s">
        <v>13</v>
      </c>
      <c r="C83" s="26"/>
      <c r="D83" s="27"/>
      <c r="E83" s="26"/>
      <c r="F83" s="28"/>
      <c r="G83" s="46"/>
      <c r="H83" s="29"/>
      <c r="I83" s="29"/>
      <c r="J83" s="29"/>
      <c r="K83" s="29"/>
      <c r="L83" s="176" t="str">
        <f t="shared" si="4"/>
        <v/>
      </c>
      <c r="M83" s="177" t="str">
        <f t="shared" si="3"/>
        <v/>
      </c>
      <c r="N83" s="175" t="str">
        <f>_xlfn.IFNA(IF(OR(L83&gt;50, OR(OR(VLOOKUP(D83,'Selection Lists'!$A$4:$B$17, 2, FALSE)&lt;3/8, VLOOKUP(D83, 'Selection Lists'!$A$4:$B$17, 2, FALSE)&gt;2)), OR(INT(F83)&lt;10, INT(F83)&gt;55)), $Q$5, ""), "") &amp; " " &amp; _xlfn.IFNA(IF(AND(VLOOKUP(D83, 'Selection Lists'!$A$4:$B$17, 2, FALSE)&lt;1.5, INT(F83)&gt;45), $Q$6, ""), "") &amp; " " &amp; _xlfn.IFNA(IF(AND(OR(G83="X",H83="X"), OR(VLOOKUP(D83, 'Selection Lists'!$A$4:$B$17, 2, FALSE)&lt;0.75, INT(F83)&gt;45)), $Q$7, ""), "")</f>
        <v xml:space="preserve">  </v>
      </c>
    </row>
    <row r="84" spans="1:14" ht="13.5" thickBot="1" x14ac:dyDescent="0.25">
      <c r="A84" s="183"/>
      <c r="B84" s="158" t="s">
        <v>14</v>
      </c>
      <c r="C84" s="35"/>
      <c r="D84" s="36"/>
      <c r="E84" s="35"/>
      <c r="F84" s="37"/>
      <c r="G84" s="47"/>
      <c r="H84" s="38"/>
      <c r="I84" s="38"/>
      <c r="J84" s="38"/>
      <c r="K84" s="38"/>
      <c r="L84" s="178" t="str">
        <f t="shared" si="4"/>
        <v/>
      </c>
      <c r="M84" s="179" t="str">
        <f t="shared" si="3"/>
        <v/>
      </c>
      <c r="N84" s="175" t="str">
        <f>_xlfn.IFNA(IF(OR(L84&gt;50, OR(OR(VLOOKUP(D84,'Selection Lists'!$A$4:$B$17, 2, FALSE)&lt;3/8, VLOOKUP(D84, 'Selection Lists'!$A$4:$B$17, 2, FALSE)&gt;2)), OR(INT(F84)&lt;10, INT(F84)&gt;55)), $Q$5, ""), "") &amp; " " &amp; _xlfn.IFNA(IF(AND(VLOOKUP(D84, 'Selection Lists'!$A$4:$B$17, 2, FALSE)&lt;1.5, INT(F84)&gt;45), $Q$6, ""), "") &amp; " " &amp; _xlfn.IFNA(IF(AND(OR(G84="X",H84="X"), OR(VLOOKUP(D84, 'Selection Lists'!$A$4:$B$17, 2, FALSE)&lt;0.75, INT(F84)&gt;45)), $Q$7, ""), "")</f>
        <v xml:space="preserve">  </v>
      </c>
    </row>
    <row r="85" spans="1:14" x14ac:dyDescent="0.2">
      <c r="A85" s="181">
        <v>28</v>
      </c>
      <c r="B85" s="154" t="s">
        <v>12</v>
      </c>
      <c r="C85" s="30"/>
      <c r="D85" s="31"/>
      <c r="E85" s="32"/>
      <c r="F85" s="33"/>
      <c r="G85" s="45"/>
      <c r="H85" s="34"/>
      <c r="I85" s="34"/>
      <c r="J85" s="34"/>
      <c r="K85" s="34"/>
      <c r="L85" s="173" t="str">
        <f t="shared" si="4"/>
        <v/>
      </c>
      <c r="M85" s="174" t="str">
        <f t="shared" si="3"/>
        <v/>
      </c>
      <c r="N85" s="175" t="str">
        <f>_xlfn.IFNA(IF(OR(L85&gt;50, OR(OR(VLOOKUP(D85,'Selection Lists'!$A$4:$B$17, 2, FALSE)&lt;3/8, VLOOKUP(D85, 'Selection Lists'!$A$4:$B$17, 2, FALSE)&gt;2)), OR(INT(F85)&lt;10, INT(F85)&gt;55)), $Q$5, ""), "") &amp; " " &amp; _xlfn.IFNA(IF(AND(VLOOKUP(D85, 'Selection Lists'!$A$4:$B$17, 2, FALSE)&lt;1.5, INT(F85)&gt;45), $Q$6, ""), "") &amp; " " &amp; _xlfn.IFNA(IF(AND(OR(G85="X",H85="X"), OR(VLOOKUP(D85, 'Selection Lists'!$A$4:$B$17, 2, FALSE)&lt;0.75, INT(F85)&gt;45)), $Q$7, ""), "")</f>
        <v xml:space="preserve">  </v>
      </c>
    </row>
    <row r="86" spans="1:14" x14ac:dyDescent="0.2">
      <c r="A86" s="182"/>
      <c r="B86" s="156" t="s">
        <v>13</v>
      </c>
      <c r="C86" s="26"/>
      <c r="D86" s="27"/>
      <c r="E86" s="26"/>
      <c r="F86" s="28"/>
      <c r="G86" s="46"/>
      <c r="H86" s="29"/>
      <c r="I86" s="29"/>
      <c r="J86" s="29"/>
      <c r="K86" s="29"/>
      <c r="L86" s="176" t="str">
        <f t="shared" si="4"/>
        <v/>
      </c>
      <c r="M86" s="177" t="str">
        <f t="shared" si="3"/>
        <v/>
      </c>
      <c r="N86" s="175" t="str">
        <f>_xlfn.IFNA(IF(OR(L86&gt;50, OR(OR(VLOOKUP(D86,'Selection Lists'!$A$4:$B$17, 2, FALSE)&lt;3/8, VLOOKUP(D86, 'Selection Lists'!$A$4:$B$17, 2, FALSE)&gt;2)), OR(INT(F86)&lt;10, INT(F86)&gt;55)), $Q$5, ""), "") &amp; " " &amp; _xlfn.IFNA(IF(AND(VLOOKUP(D86, 'Selection Lists'!$A$4:$B$17, 2, FALSE)&lt;1.5, INT(F86)&gt;45), $Q$6, ""), "") &amp; " " &amp; _xlfn.IFNA(IF(AND(OR(G86="X",H86="X"), OR(VLOOKUP(D86, 'Selection Lists'!$A$4:$B$17, 2, FALSE)&lt;0.75, INT(F86)&gt;45)), $Q$7, ""), "")</f>
        <v xml:space="preserve">  </v>
      </c>
    </row>
    <row r="87" spans="1:14" ht="13.5" thickBot="1" x14ac:dyDescent="0.25">
      <c r="A87" s="183"/>
      <c r="B87" s="158" t="s">
        <v>14</v>
      </c>
      <c r="C87" s="35"/>
      <c r="D87" s="36"/>
      <c r="E87" s="35"/>
      <c r="F87" s="37"/>
      <c r="G87" s="47"/>
      <c r="H87" s="38"/>
      <c r="I87" s="38"/>
      <c r="J87" s="38"/>
      <c r="K87" s="38"/>
      <c r="L87" s="178" t="str">
        <f t="shared" si="4"/>
        <v/>
      </c>
      <c r="M87" s="179" t="str">
        <f t="shared" si="3"/>
        <v/>
      </c>
      <c r="N87" s="175" t="str">
        <f>_xlfn.IFNA(IF(OR(L87&gt;50, OR(OR(VLOOKUP(D87,'Selection Lists'!$A$4:$B$17, 2, FALSE)&lt;3/8, VLOOKUP(D87, 'Selection Lists'!$A$4:$B$17, 2, FALSE)&gt;2)), OR(INT(F87)&lt;10, INT(F87)&gt;55)), $Q$5, ""), "") &amp; " " &amp; _xlfn.IFNA(IF(AND(VLOOKUP(D87, 'Selection Lists'!$A$4:$B$17, 2, FALSE)&lt;1.5, INT(F87)&gt;45), $Q$6, ""), "") &amp; " " &amp; _xlfn.IFNA(IF(AND(OR(G87="X",H87="X"), OR(VLOOKUP(D87, 'Selection Lists'!$A$4:$B$17, 2, FALSE)&lt;0.75, INT(F87)&gt;45)), $Q$7, ""), "")</f>
        <v xml:space="preserve">  </v>
      </c>
    </row>
    <row r="88" spans="1:14" x14ac:dyDescent="0.2">
      <c r="A88" s="181">
        <v>29</v>
      </c>
      <c r="B88" s="154" t="s">
        <v>12</v>
      </c>
      <c r="C88" s="30"/>
      <c r="D88" s="31"/>
      <c r="E88" s="32"/>
      <c r="F88" s="33"/>
      <c r="G88" s="45"/>
      <c r="H88" s="34"/>
      <c r="I88" s="34"/>
      <c r="J88" s="34"/>
      <c r="K88" s="34"/>
      <c r="L88" s="173" t="str">
        <f t="shared" si="4"/>
        <v/>
      </c>
      <c r="M88" s="174" t="str">
        <f t="shared" si="3"/>
        <v/>
      </c>
      <c r="N88" s="175" t="str">
        <f>_xlfn.IFNA(IF(OR(L88&gt;50, OR(OR(VLOOKUP(D88,'Selection Lists'!$A$4:$B$17, 2, FALSE)&lt;3/8, VLOOKUP(D88, 'Selection Lists'!$A$4:$B$17, 2, FALSE)&gt;2)), OR(INT(F88)&lt;10, INT(F88)&gt;55)), $Q$5, ""), "") &amp; " " &amp; _xlfn.IFNA(IF(AND(VLOOKUP(D88, 'Selection Lists'!$A$4:$B$17, 2, FALSE)&lt;1.5, INT(F88)&gt;45), $Q$6, ""), "") &amp; " " &amp; _xlfn.IFNA(IF(AND(OR(G88="X",H88="X"), OR(VLOOKUP(D88, 'Selection Lists'!$A$4:$B$17, 2, FALSE)&lt;0.75, INT(F88)&gt;45)), $Q$7, ""), "")</f>
        <v xml:space="preserve">  </v>
      </c>
    </row>
    <row r="89" spans="1:14" x14ac:dyDescent="0.2">
      <c r="A89" s="182"/>
      <c r="B89" s="156" t="s">
        <v>13</v>
      </c>
      <c r="C89" s="26"/>
      <c r="D89" s="27"/>
      <c r="E89" s="26"/>
      <c r="F89" s="28"/>
      <c r="G89" s="46"/>
      <c r="H89" s="29"/>
      <c r="I89" s="29"/>
      <c r="J89" s="29"/>
      <c r="K89" s="29"/>
      <c r="L89" s="176" t="str">
        <f t="shared" si="4"/>
        <v/>
      </c>
      <c r="M89" s="177" t="str">
        <f t="shared" si="3"/>
        <v/>
      </c>
      <c r="N89" s="175" t="str">
        <f>_xlfn.IFNA(IF(OR(L89&gt;50, OR(OR(VLOOKUP(D89,'Selection Lists'!$A$4:$B$17, 2, FALSE)&lt;3/8, VLOOKUP(D89, 'Selection Lists'!$A$4:$B$17, 2, FALSE)&gt;2)), OR(INT(F89)&lt;10, INT(F89)&gt;55)), $Q$5, ""), "") &amp; " " &amp; _xlfn.IFNA(IF(AND(VLOOKUP(D89, 'Selection Lists'!$A$4:$B$17, 2, FALSE)&lt;1.5, INT(F89)&gt;45), $Q$6, ""), "") &amp; " " &amp; _xlfn.IFNA(IF(AND(OR(G89="X",H89="X"), OR(VLOOKUP(D89, 'Selection Lists'!$A$4:$B$17, 2, FALSE)&lt;0.75, INT(F89)&gt;45)), $Q$7, ""), "")</f>
        <v xml:space="preserve">  </v>
      </c>
    </row>
    <row r="90" spans="1:14" ht="13.5" thickBot="1" x14ac:dyDescent="0.25">
      <c r="A90" s="183"/>
      <c r="B90" s="158" t="s">
        <v>14</v>
      </c>
      <c r="C90" s="35"/>
      <c r="D90" s="36"/>
      <c r="E90" s="35"/>
      <c r="F90" s="37"/>
      <c r="G90" s="47"/>
      <c r="H90" s="38"/>
      <c r="I90" s="38"/>
      <c r="J90" s="38"/>
      <c r="K90" s="38"/>
      <c r="L90" s="178" t="str">
        <f t="shared" si="4"/>
        <v/>
      </c>
      <c r="M90" s="179" t="str">
        <f t="shared" si="3"/>
        <v/>
      </c>
      <c r="N90" s="175" t="str">
        <f>_xlfn.IFNA(IF(OR(L90&gt;50, OR(OR(VLOOKUP(D90,'Selection Lists'!$A$4:$B$17, 2, FALSE)&lt;3/8, VLOOKUP(D90, 'Selection Lists'!$A$4:$B$17, 2, FALSE)&gt;2)), OR(INT(F90)&lt;10, INT(F90)&gt;55)), $Q$5, ""), "") &amp; " " &amp; _xlfn.IFNA(IF(AND(VLOOKUP(D90, 'Selection Lists'!$A$4:$B$17, 2, FALSE)&lt;1.5, INT(F90)&gt;45), $Q$6, ""), "") &amp; " " &amp; _xlfn.IFNA(IF(AND(OR(G90="X",H90="X"), OR(VLOOKUP(D90, 'Selection Lists'!$A$4:$B$17, 2, FALSE)&lt;0.75, INT(F90)&gt;45)), $Q$7, ""), "")</f>
        <v xml:space="preserve">  </v>
      </c>
    </row>
    <row r="91" spans="1:14" x14ac:dyDescent="0.2">
      <c r="A91" s="181">
        <v>30</v>
      </c>
      <c r="B91" s="154" t="s">
        <v>12</v>
      </c>
      <c r="C91" s="30"/>
      <c r="D91" s="31"/>
      <c r="E91" s="32"/>
      <c r="F91" s="33"/>
      <c r="G91" s="45"/>
      <c r="H91" s="34"/>
      <c r="I91" s="34"/>
      <c r="J91" s="34"/>
      <c r="K91" s="34"/>
      <c r="L91" s="173" t="str">
        <f t="shared" si="4"/>
        <v/>
      </c>
      <c r="M91" s="174" t="str">
        <f t="shared" si="3"/>
        <v/>
      </c>
      <c r="N91" s="175" t="str">
        <f>_xlfn.IFNA(IF(OR(L91&gt;50, OR(OR(VLOOKUP(D91,'Selection Lists'!$A$4:$B$17, 2, FALSE)&lt;3/8, VLOOKUP(D91, 'Selection Lists'!$A$4:$B$17, 2, FALSE)&gt;2)), OR(INT(F91)&lt;10, INT(F91)&gt;55)), $Q$5, ""), "") &amp; " " &amp; _xlfn.IFNA(IF(AND(VLOOKUP(D91, 'Selection Lists'!$A$4:$B$17, 2, FALSE)&lt;1.5, INT(F91)&gt;45), $Q$6, ""), "") &amp; " " &amp; _xlfn.IFNA(IF(AND(OR(G91="X",H91="X"), OR(VLOOKUP(D91, 'Selection Lists'!$A$4:$B$17, 2, FALSE)&lt;0.75, INT(F91)&gt;45)), $Q$7, ""), "")</f>
        <v xml:space="preserve">  </v>
      </c>
    </row>
    <row r="92" spans="1:14" x14ac:dyDescent="0.2">
      <c r="A92" s="182"/>
      <c r="B92" s="156" t="s">
        <v>13</v>
      </c>
      <c r="C92" s="26"/>
      <c r="D92" s="27"/>
      <c r="E92" s="26"/>
      <c r="F92" s="28"/>
      <c r="G92" s="46"/>
      <c r="H92" s="29"/>
      <c r="I92" s="29"/>
      <c r="J92" s="29"/>
      <c r="K92" s="29"/>
      <c r="L92" s="176" t="str">
        <f t="shared" si="4"/>
        <v/>
      </c>
      <c r="M92" s="177" t="str">
        <f t="shared" si="3"/>
        <v/>
      </c>
      <c r="N92" s="175" t="str">
        <f>_xlfn.IFNA(IF(OR(L92&gt;50, OR(OR(VLOOKUP(D92,'Selection Lists'!$A$4:$B$17, 2, FALSE)&lt;3/8, VLOOKUP(D92, 'Selection Lists'!$A$4:$B$17, 2, FALSE)&gt;2)), OR(INT(F92)&lt;10, INT(F92)&gt;55)), $Q$5, ""), "") &amp; " " &amp; _xlfn.IFNA(IF(AND(VLOOKUP(D92, 'Selection Lists'!$A$4:$B$17, 2, FALSE)&lt;1.5, INT(F92)&gt;45), $Q$6, ""), "") &amp; " " &amp; _xlfn.IFNA(IF(AND(OR(G92="X",H92="X"), OR(VLOOKUP(D92, 'Selection Lists'!$A$4:$B$17, 2, FALSE)&lt;0.75, INT(F92)&gt;45)), $Q$7, ""), "")</f>
        <v xml:space="preserve">  </v>
      </c>
    </row>
    <row r="93" spans="1:14" ht="13.5" thickBot="1" x14ac:dyDescent="0.25">
      <c r="A93" s="182"/>
      <c r="B93" s="184" t="s">
        <v>14</v>
      </c>
      <c r="C93" s="41"/>
      <c r="D93" s="42"/>
      <c r="E93" s="41"/>
      <c r="F93" s="43"/>
      <c r="G93" s="48"/>
      <c r="H93" s="44"/>
      <c r="I93" s="44"/>
      <c r="J93" s="44"/>
      <c r="K93" s="44"/>
      <c r="L93" s="178" t="str">
        <f t="shared" si="4"/>
        <v/>
      </c>
      <c r="M93" s="185" t="str">
        <f t="shared" si="3"/>
        <v/>
      </c>
      <c r="N93" s="175" t="str">
        <f>_xlfn.IFNA(IF(OR(L93&gt;50, OR(OR(VLOOKUP(D93,'Selection Lists'!$A$4:$B$17, 2, FALSE)&lt;3/8, VLOOKUP(D93, 'Selection Lists'!$A$4:$B$17, 2, FALSE)&gt;2)), OR(INT(F93)&lt;10, INT(F93)&gt;55)), $Q$5, ""), "") &amp; " " &amp; _xlfn.IFNA(IF(AND(VLOOKUP(D93, 'Selection Lists'!$A$4:$B$17, 2, FALSE)&lt;1.5, INT(F93)&gt;45), $Q$6, ""), "") &amp; " " &amp; _xlfn.IFNA(IF(AND(OR(G93="X",H93="X"), OR(VLOOKUP(D93, 'Selection Lists'!$A$4:$B$17, 2, FALSE)&lt;0.75, INT(F93)&gt;45)), $Q$7, ""), "")</f>
        <v xml:space="preserve">  </v>
      </c>
    </row>
    <row r="94" spans="1:14" ht="12.75" customHeight="1" x14ac:dyDescent="0.2">
      <c r="G94" s="188" t="s">
        <v>74</v>
      </c>
      <c r="H94" s="189"/>
      <c r="I94" s="189"/>
      <c r="J94" s="189"/>
      <c r="K94" s="189"/>
      <c r="L94" s="190"/>
      <c r="M94" s="127">
        <f>COUNTIF(Course1Table[KZ, in],"&gt;0")</f>
        <v>0</v>
      </c>
      <c r="N94" s="203" t="str">
        <f>IF(M94*2&gt;60,$Q$11,"")</f>
        <v/>
      </c>
    </row>
    <row r="95" spans="1:14" ht="12.75" customHeight="1" x14ac:dyDescent="0.2">
      <c r="G95" s="191" t="s">
        <v>78</v>
      </c>
      <c r="H95" s="192"/>
      <c r="I95" s="192"/>
      <c r="J95" s="192"/>
      <c r="K95" s="192"/>
      <c r="L95" s="193"/>
      <c r="M95" s="204">
        <f>COUNTIF(F4:F93, "&gt;40")</f>
        <v>0</v>
      </c>
      <c r="N95" s="203"/>
    </row>
    <row r="96" spans="1:14" ht="12.75" customHeight="1" x14ac:dyDescent="0.2">
      <c r="G96" s="191" t="s">
        <v>102</v>
      </c>
      <c r="H96" s="192"/>
      <c r="I96" s="192"/>
      <c r="J96" s="192"/>
      <c r="K96" s="192"/>
      <c r="L96" s="193"/>
      <c r="M96" s="62" t="str">
        <f>IFERROR(M95/M94,"")</f>
        <v/>
      </c>
      <c r="N96" s="205" t="str">
        <f>IF(M96&lt;0.3, $Q$10, "")</f>
        <v/>
      </c>
    </row>
    <row r="97" spans="7:14" x14ac:dyDescent="0.2">
      <c r="G97" s="191" t="s">
        <v>75</v>
      </c>
      <c r="H97" s="192"/>
      <c r="I97" s="192"/>
      <c r="J97" s="192"/>
      <c r="K97" s="192"/>
      <c r="L97" s="193"/>
      <c r="M97" s="194" t="str">
        <f>IFERROR(AVERAGE(D4:D93), "")</f>
        <v/>
      </c>
      <c r="N97" s="195"/>
    </row>
    <row r="98" spans="7:14" ht="12.75" customHeight="1" x14ac:dyDescent="0.2">
      <c r="G98" s="191" t="s">
        <v>76</v>
      </c>
      <c r="H98" s="192"/>
      <c r="I98" s="192"/>
      <c r="J98" s="192"/>
      <c r="K98" s="192"/>
      <c r="L98" s="193"/>
      <c r="M98" s="142" t="str">
        <f>IFERROR(AVERAGE(F4:F93), "")</f>
        <v/>
      </c>
      <c r="N98" s="196"/>
    </row>
    <row r="99" spans="7:14" ht="12.75" customHeight="1" x14ac:dyDescent="0.2">
      <c r="G99" s="191" t="s">
        <v>109</v>
      </c>
      <c r="H99" s="192"/>
      <c r="I99" s="192"/>
      <c r="J99" s="192"/>
      <c r="K99" s="192"/>
      <c r="L99" s="193"/>
      <c r="M99" s="143" t="str">
        <f>IFERROR(_xlfn.STDEV.P(L4:L93), "")</f>
        <v/>
      </c>
      <c r="N99" s="197"/>
    </row>
    <row r="100" spans="7:14" ht="12.75" customHeight="1" x14ac:dyDescent="0.2">
      <c r="G100" s="191" t="s">
        <v>101</v>
      </c>
      <c r="H100" s="192"/>
      <c r="I100" s="192"/>
      <c r="J100" s="192"/>
      <c r="K100" s="192"/>
      <c r="L100" s="193"/>
      <c r="M100" s="143" t="str">
        <f>IFERROR(AVERAGE(L4:L93), "")</f>
        <v/>
      </c>
      <c r="N100" s="119" t="str">
        <f>IF(0&lt;M100&lt;28, $Q$9, "") &amp; " " &amp; IF(M100&gt;36, $Q$8, "")</f>
        <v xml:space="preserve"> ◄Max 36T</v>
      </c>
    </row>
    <row r="101" spans="7:14" ht="13.5" customHeight="1" thickBot="1" x14ac:dyDescent="0.25">
      <c r="G101" s="198" t="s">
        <v>77</v>
      </c>
      <c r="H101" s="199"/>
      <c r="I101" s="199"/>
      <c r="J101" s="199"/>
      <c r="K101" s="199"/>
      <c r="L101" s="200"/>
      <c r="M101" s="145" t="str">
        <f>IFERROR(AVERAGE(M4:M93), "")</f>
        <v/>
      </c>
    </row>
    <row r="104" spans="7:14" x14ac:dyDescent="0.2">
      <c r="K104" s="202" t="s">
        <v>15</v>
      </c>
    </row>
  </sheetData>
  <sheetProtection algorithmName="SHA-512" hashValue="zBkOMFt9t+DldtEEIpHSHq9O74jL8u+WiYNoLb9Mmug6D2Q6jDOD+hpNsrmggXAf0U9bZdJBczGovp1NgazanA==" saltValue="Xk0RlRcqViHA8ZwvXGJx5Q==" spinCount="100000" sheet="1" objects="1" scenarios="1" selectLockedCells="1"/>
  <mergeCells count="26">
    <mergeCell ref="A1:M1"/>
    <mergeCell ref="A2:M2"/>
    <mergeCell ref="Q4:R4"/>
    <mergeCell ref="S4:AB4"/>
    <mergeCell ref="G101:L101"/>
    <mergeCell ref="G94:L94"/>
    <mergeCell ref="G95:L95"/>
    <mergeCell ref="G96:L96"/>
    <mergeCell ref="G97:L97"/>
    <mergeCell ref="G100:L100"/>
    <mergeCell ref="G99:L99"/>
    <mergeCell ref="G98:L98"/>
    <mergeCell ref="Q5:R5"/>
    <mergeCell ref="S5:AB5"/>
    <mergeCell ref="Q6:R6"/>
    <mergeCell ref="S6:AB6"/>
    <mergeCell ref="Q7:R7"/>
    <mergeCell ref="S7:AB7"/>
    <mergeCell ref="Q11:R11"/>
    <mergeCell ref="S11:AB11"/>
    <mergeCell ref="Q8:R8"/>
    <mergeCell ref="S8:AB8"/>
    <mergeCell ref="Q9:R9"/>
    <mergeCell ref="S9:AB9"/>
    <mergeCell ref="Q10:R10"/>
    <mergeCell ref="S10:AB10"/>
  </mergeCells>
  <conditionalFormatting sqref="D4:D93">
    <cfRule type="expression" dxfId="108" priority="7" stopIfTrue="1">
      <formula>AND(F4&gt;45, D4&lt;1.5)</formula>
    </cfRule>
  </conditionalFormatting>
  <conditionalFormatting sqref="F4:F93">
    <cfRule type="expression" dxfId="107" priority="8" stopIfTrue="1">
      <formula>AND(NOT(ISBLANK(F4)), OR(F4&lt;10, F4&gt;55))</formula>
    </cfRule>
  </conditionalFormatting>
  <conditionalFormatting sqref="G4:G93">
    <cfRule type="expression" dxfId="106" priority="10">
      <formula>AND(G4 ="X", OR(D4&lt;(3/4), F4&gt;45))</formula>
    </cfRule>
  </conditionalFormatting>
  <conditionalFormatting sqref="H4:H93">
    <cfRule type="expression" dxfId="105" priority="9">
      <formula>AND(H4 ="X", OR(D4&lt;(3/4), F4&gt;45))</formula>
    </cfRule>
  </conditionalFormatting>
  <conditionalFormatting sqref="L4:L93">
    <cfRule type="expression" dxfId="104" priority="6" stopIfTrue="1">
      <formula>AND(ISNUMBER(L4), L4&gt;50)</formula>
    </cfRule>
  </conditionalFormatting>
  <conditionalFormatting sqref="L4:M93">
    <cfRule type="expression" dxfId="103" priority="24" stopIfTrue="1">
      <formula>AND(ISNUMBER(L4), AND(NOT(ISBLANK(L4)), L4&gt;=34, L4&lt;=50))</formula>
    </cfRule>
    <cfRule type="expression" dxfId="102" priority="25" stopIfTrue="1">
      <formula>AND(ISNUMBER(L4), AND(NOT(ISBLANK(L4)), AND(L4&gt;=30, L4&lt;34)))</formula>
    </cfRule>
    <cfRule type="expression" dxfId="101" priority="26" stopIfTrue="1">
      <formula>AND(ISNUMBER(L4), AND(NOT(ISBLANK(L4)), AND(L4&gt;=25, L4&lt;30)))</formula>
    </cfRule>
    <cfRule type="expression" dxfId="100" priority="27" stopIfTrue="1">
      <formula>AND(AND(ISNUMBER(L4),AND(NOT(ISBLANK(L4)),L4&lt;25)))</formula>
    </cfRule>
  </conditionalFormatting>
  <conditionalFormatting sqref="M4:M93">
    <cfRule type="expression" dxfId="99" priority="15" stopIfTrue="1">
      <formula>AND(ISNUMBER(M4), M4&gt;50)</formula>
    </cfRule>
  </conditionalFormatting>
  <conditionalFormatting sqref="M94">
    <cfRule type="expression" dxfId="98" priority="2">
      <formula>$M$94*2&gt;60</formula>
    </cfRule>
  </conditionalFormatting>
  <conditionalFormatting sqref="M96">
    <cfRule type="expression" dxfId="97" priority="1">
      <formula>$M$96&lt;0.3</formula>
    </cfRule>
  </conditionalFormatting>
  <conditionalFormatting sqref="M100">
    <cfRule type="expression" dxfId="96" priority="17" stopIfTrue="1">
      <formula>OR(M100&gt;36, M100&lt;28)</formula>
    </cfRule>
  </conditionalFormatting>
  <dataValidations count="1">
    <dataValidation operator="equal" allowBlank="1" sqref="C4:C93" xr:uid="{00000000-0002-0000-0200-000000000000}"/>
  </dataValidations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1000000}">
          <x14:formula1>
            <xm:f>'Selection Lists'!$D$2:$D$3</xm:f>
          </x14:formula1>
          <xm:sqref>G4:K93</xm:sqref>
        </x14:dataValidation>
        <x14:dataValidation type="list" operator="equal" allowBlank="1" showErrorMessage="1" errorTitle="Invalid Value" xr:uid="{00000000-0002-0000-0200-000002000000}">
          <x14:formula1>
            <xm:f>'Selection Lists'!$A$4:$A$17</xm:f>
          </x14:formula1>
          <xm:sqref>D4:D93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BC98-7B97-4921-84A1-82EF2ABB83ED}">
  <dimension ref="A1:AB10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8.140625" style="186" customWidth="1"/>
    <col min="2" max="2" width="8" style="119" customWidth="1"/>
    <col min="3" max="3" width="20.85546875" style="180" customWidth="1"/>
    <col min="4" max="4" width="7.5703125" style="180" customWidth="1"/>
    <col min="5" max="5" width="26.140625" style="180" customWidth="1"/>
    <col min="6" max="6" width="10" style="187" customWidth="1"/>
    <col min="7" max="7" width="7.85546875" style="201" customWidth="1"/>
    <col min="8" max="9" width="5.42578125" style="119" customWidth="1"/>
    <col min="10" max="11" width="5.28515625" style="119" customWidth="1"/>
    <col min="12" max="13" width="7.42578125" style="119" bestFit="1" customWidth="1"/>
    <col min="14" max="14" width="27.42578125" style="119" customWidth="1"/>
    <col min="15" max="15" width="8.140625" style="119" bestFit="1" customWidth="1"/>
    <col min="16" max="16" width="10" style="119" bestFit="1" customWidth="1"/>
    <col min="17" max="17" width="12.42578125" style="119" customWidth="1"/>
    <col min="18" max="18" width="14" style="119" customWidth="1"/>
    <col min="19" max="16384" width="9.140625" style="119"/>
  </cols>
  <sheetData>
    <row r="1" spans="1:28" ht="26.25" x14ac:dyDescent="0.2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28" ht="23.25" x14ac:dyDescent="0.2">
      <c r="A2" s="162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28" ht="68.25" thickBot="1" x14ac:dyDescent="0.25">
      <c r="A3" s="165" t="s">
        <v>1</v>
      </c>
      <c r="B3" s="166" t="s">
        <v>2</v>
      </c>
      <c r="C3" s="165" t="s">
        <v>3</v>
      </c>
      <c r="D3" s="165" t="s">
        <v>4</v>
      </c>
      <c r="E3" s="167" t="s">
        <v>5</v>
      </c>
      <c r="F3" s="168" t="s">
        <v>6</v>
      </c>
      <c r="G3" s="169" t="s">
        <v>7</v>
      </c>
      <c r="H3" s="169" t="s">
        <v>8</v>
      </c>
      <c r="I3" s="170" t="s">
        <v>9</v>
      </c>
      <c r="J3" s="170" t="s">
        <v>10</v>
      </c>
      <c r="K3" s="169" t="s">
        <v>11</v>
      </c>
      <c r="L3" s="171" t="s">
        <v>100</v>
      </c>
      <c r="M3" s="172" t="s">
        <v>53</v>
      </c>
      <c r="N3" s="172" t="s">
        <v>85</v>
      </c>
    </row>
    <row r="4" spans="1:28" x14ac:dyDescent="0.2">
      <c r="A4" s="153">
        <v>1</v>
      </c>
      <c r="B4" s="154" t="s">
        <v>12</v>
      </c>
      <c r="C4" s="30"/>
      <c r="D4" s="61"/>
      <c r="E4" s="32"/>
      <c r="F4" s="33"/>
      <c r="G4" s="45"/>
      <c r="H4" s="34"/>
      <c r="I4" s="34"/>
      <c r="J4" s="34"/>
      <c r="K4" s="34"/>
      <c r="L4" s="173" t="str">
        <f>IFERROR((F4/D4)*(1+IF(G4="X", 0.75, 0) +IF(H4="X", 0.5, 0) + IF(I4="X", 0.25, 0) +IF(F4&gt;45, 0.125, 0)), "")</f>
        <v/>
      </c>
      <c r="M4" s="174" t="str">
        <f t="shared" ref="M4:M35" si="0">IFERROR((F4/D4)*(1+IF(G4="X", 0.75, 0) +IF(H4="X", 0.5, 0) + IF(I4="X", 0.25, 0) + IF(J4="X", 0.25, 0) + IF(K4="X", 0.25, 0)+IF(F4&gt;45, 0.125, 0)), "")</f>
        <v/>
      </c>
      <c r="N4" s="175" t="str">
        <f>_xlfn.IFNA(IF(OR(L4&gt;50, OR(OR(VLOOKUP(D4,'Selection Lists'!$A$4:$B$17, 2, FALSE)&lt;3/8, VLOOKUP(D4, 'Selection Lists'!$A$4:$B$17, 2, FALSE)&gt;2)), OR(INT(F4)&lt;10, INT(F4)&gt;55)), $Q$5, ""), "") &amp; " " &amp; _xlfn.IFNA(IF(AND(VLOOKUP(D4, 'Selection Lists'!$A$4:$B$17, 2, FALSE)&lt;1.5, INT(F4)&gt;45), $Q$6, ""), "") &amp; " " &amp; _xlfn.IFNA(IF(AND(OR(G4="X",H4="X"), OR(VLOOKUP(D4, 'Selection Lists'!$A$4:$B$17, 2, FALSE)&lt;0.75, INT(F4)&gt;45)), $Q$7, ""), "")</f>
        <v xml:space="preserve">  </v>
      </c>
      <c r="Q4" s="122" t="s">
        <v>86</v>
      </c>
      <c r="R4" s="123"/>
      <c r="S4" s="124" t="s">
        <v>87</v>
      </c>
      <c r="T4" s="125"/>
      <c r="U4" s="125"/>
      <c r="V4" s="125"/>
      <c r="W4" s="125"/>
      <c r="X4" s="125"/>
      <c r="Y4" s="125"/>
      <c r="Z4" s="125"/>
      <c r="AA4" s="125"/>
      <c r="AB4" s="125"/>
    </row>
    <row r="5" spans="1:28" x14ac:dyDescent="0.2">
      <c r="A5" s="155"/>
      <c r="B5" s="156" t="s">
        <v>73</v>
      </c>
      <c r="C5" s="26"/>
      <c r="D5" s="27"/>
      <c r="E5" s="26"/>
      <c r="F5" s="28"/>
      <c r="G5" s="46"/>
      <c r="H5" s="29"/>
      <c r="I5" s="29"/>
      <c r="J5" s="29"/>
      <c r="K5" s="29"/>
      <c r="L5" s="176" t="str">
        <f t="shared" ref="L5:L68" si="1">IFERROR((F5/D5)*(1+IF(G5="X", 0.75, 0) +IF(H5="X", 0.5, 0) + IF(I5="X", 0.25, 0) +IF(F5&gt;45, 0.125, 0)), "")</f>
        <v/>
      </c>
      <c r="M5" s="177" t="str">
        <f t="shared" si="0"/>
        <v/>
      </c>
      <c r="N5" s="175" t="str">
        <f>_xlfn.IFNA(IF(OR(L5&gt;50, OR(OR(VLOOKUP(D5,'Selection Lists'!$A$4:$B$17, 2, FALSE)&lt;3/8, VLOOKUP(D5, 'Selection Lists'!$A$4:$B$17, 2, FALSE)&gt;2)), OR(INT(F5)&lt;10, INT(F5)&gt;55)), $Q$5, ""), "") &amp; " " &amp; _xlfn.IFNA(IF(AND(VLOOKUP(D5, 'Selection Lists'!$A$4:$B$17, 2, FALSE)&lt;1.5, INT(F5)&gt;45), $Q$6, ""), "") &amp; " " &amp; _xlfn.IFNA(IF(AND(OR(G5="X",H5="X"), OR(VLOOKUP(D5, 'Selection Lists'!$A$4:$B$17, 2, FALSE)&lt;0.75, INT(F5)&gt;45)), $Q$7, ""), "")</f>
        <v xml:space="preserve">  </v>
      </c>
      <c r="Q5" s="131" t="s">
        <v>88</v>
      </c>
      <c r="R5" s="132"/>
      <c r="S5" s="133" t="s">
        <v>89</v>
      </c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13.5" thickBot="1" x14ac:dyDescent="0.25">
      <c r="A6" s="157"/>
      <c r="B6" s="158" t="s">
        <v>14</v>
      </c>
      <c r="C6" s="35"/>
      <c r="D6" s="36"/>
      <c r="E6" s="35"/>
      <c r="F6" s="37"/>
      <c r="G6" s="47"/>
      <c r="H6" s="38"/>
      <c r="I6" s="38"/>
      <c r="J6" s="38"/>
      <c r="K6" s="38"/>
      <c r="L6" s="178" t="str">
        <f t="shared" si="1"/>
        <v/>
      </c>
      <c r="M6" s="179" t="str">
        <f t="shared" si="0"/>
        <v/>
      </c>
      <c r="N6" s="175" t="str">
        <f>_xlfn.IFNA(IF(OR(L6&gt;50, OR(OR(VLOOKUP(D6,'Selection Lists'!$A$4:$B$17, 2, FALSE)&lt;3/8, VLOOKUP(D6, 'Selection Lists'!$A$4:$B$17, 2, FALSE)&gt;2)), OR(INT(F6)&lt;10, INT(F6)&gt;55)), $Q$5, ""), "") &amp; " " &amp; _xlfn.IFNA(IF(AND(VLOOKUP(D6, 'Selection Lists'!$A$4:$B$17, 2, FALSE)&lt;1.5, INT(F6)&gt;45), $Q$6, ""), "") &amp; " " &amp; _xlfn.IFNA(IF(AND(OR(G6="X",H6="X"), OR(VLOOKUP(D6, 'Selection Lists'!$A$4:$B$17, 2, FALSE)&lt;0.75, INT(F6)&gt;45)), $Q$7, ""), "")</f>
        <v xml:space="preserve">  </v>
      </c>
      <c r="Q6" s="131" t="s">
        <v>90</v>
      </c>
      <c r="R6" s="132"/>
      <c r="S6" s="133" t="s">
        <v>91</v>
      </c>
      <c r="T6" s="134"/>
      <c r="U6" s="134"/>
      <c r="V6" s="134"/>
      <c r="W6" s="134"/>
      <c r="X6" s="134"/>
      <c r="Y6" s="134"/>
      <c r="Z6" s="134"/>
      <c r="AA6" s="134"/>
      <c r="AB6" s="134"/>
    </row>
    <row r="7" spans="1:28" x14ac:dyDescent="0.2">
      <c r="A7" s="153">
        <v>2</v>
      </c>
      <c r="B7" s="154" t="s">
        <v>12</v>
      </c>
      <c r="C7" s="30"/>
      <c r="D7" s="31"/>
      <c r="E7" s="32"/>
      <c r="F7" s="33"/>
      <c r="G7" s="45"/>
      <c r="H7" s="34"/>
      <c r="I7" s="34"/>
      <c r="J7" s="34"/>
      <c r="K7" s="34"/>
      <c r="L7" s="173" t="str">
        <f t="shared" si="1"/>
        <v/>
      </c>
      <c r="M7" s="174" t="str">
        <f t="shared" si="0"/>
        <v/>
      </c>
      <c r="N7" s="175" t="str">
        <f>_xlfn.IFNA(IF(OR(L7&gt;50, OR(OR(VLOOKUP(D7,'Selection Lists'!$A$4:$B$17, 2, FALSE)&lt;3/8, VLOOKUP(D7, 'Selection Lists'!$A$4:$B$17, 2, FALSE)&gt;2)), OR(INT(F7)&lt;10, INT(F7)&gt;55)), $Q$5, ""), "") &amp; " " &amp; _xlfn.IFNA(IF(AND(VLOOKUP(D7, 'Selection Lists'!$A$4:$B$17, 2, FALSE)&lt;1.5, INT(F7)&gt;45), $Q$6, ""), "") &amp; " " &amp; _xlfn.IFNA(IF(AND(OR(G7="X",H7="X"), OR(VLOOKUP(D7, 'Selection Lists'!$A$4:$B$17, 2, FALSE)&lt;0.75, INT(F7)&gt;45)), $Q$7, ""), "")</f>
        <v xml:space="preserve">  </v>
      </c>
      <c r="Q7" s="131" t="s">
        <v>92</v>
      </c>
      <c r="R7" s="132"/>
      <c r="S7" s="133" t="s">
        <v>93</v>
      </c>
      <c r="T7" s="134"/>
      <c r="U7" s="134"/>
      <c r="V7" s="134"/>
      <c r="W7" s="134"/>
      <c r="X7" s="134"/>
      <c r="Y7" s="134"/>
      <c r="Z7" s="134"/>
      <c r="AA7" s="134"/>
      <c r="AB7" s="134"/>
    </row>
    <row r="8" spans="1:28" x14ac:dyDescent="0.2">
      <c r="A8" s="155"/>
      <c r="B8" s="156" t="s">
        <v>13</v>
      </c>
      <c r="C8" s="26"/>
      <c r="D8" s="27"/>
      <c r="E8" s="26"/>
      <c r="F8" s="28"/>
      <c r="G8" s="46"/>
      <c r="H8" s="29"/>
      <c r="I8" s="29"/>
      <c r="J8" s="29"/>
      <c r="K8" s="29"/>
      <c r="L8" s="176" t="str">
        <f t="shared" si="1"/>
        <v/>
      </c>
      <c r="M8" s="177" t="str">
        <f t="shared" si="0"/>
        <v/>
      </c>
      <c r="N8" s="175" t="str">
        <f>_xlfn.IFNA(IF(OR(L8&gt;50, OR(OR(VLOOKUP(D8,'Selection Lists'!$A$4:$B$17, 2, FALSE)&lt;3/8, VLOOKUP(D8, 'Selection Lists'!$A$4:$B$17, 2, FALSE)&gt;2)), OR(INT(F8)&lt;10, INT(F8)&gt;55)), $Q$5, ""), "") &amp; " " &amp; _xlfn.IFNA(IF(AND(VLOOKUP(D8, 'Selection Lists'!$A$4:$B$17, 2, FALSE)&lt;1.5, INT(F8)&gt;45), $Q$6, ""), "") &amp; " " &amp; _xlfn.IFNA(IF(AND(OR(G8="X",H8="X"), OR(VLOOKUP(D8, 'Selection Lists'!$A$4:$B$17, 2, FALSE)&lt;0.75, INT(F8)&gt;45)), $Q$7, ""), "")</f>
        <v xml:space="preserve">  </v>
      </c>
      <c r="Q8" s="131" t="s">
        <v>94</v>
      </c>
      <c r="R8" s="132"/>
      <c r="S8" s="133" t="s">
        <v>95</v>
      </c>
      <c r="T8" s="134"/>
      <c r="U8" s="134"/>
      <c r="V8" s="134"/>
      <c r="W8" s="134"/>
      <c r="X8" s="134"/>
      <c r="Y8" s="134"/>
      <c r="Z8" s="134"/>
      <c r="AA8" s="134"/>
      <c r="AB8" s="134"/>
    </row>
    <row r="9" spans="1:28" ht="13.5" thickBot="1" x14ac:dyDescent="0.25">
      <c r="A9" s="157"/>
      <c r="B9" s="158" t="s">
        <v>14</v>
      </c>
      <c r="C9" s="35"/>
      <c r="D9" s="36"/>
      <c r="E9" s="35"/>
      <c r="F9" s="37"/>
      <c r="G9" s="47"/>
      <c r="H9" s="38"/>
      <c r="I9" s="38"/>
      <c r="J9" s="38"/>
      <c r="K9" s="38"/>
      <c r="L9" s="178" t="str">
        <f t="shared" si="1"/>
        <v/>
      </c>
      <c r="M9" s="179" t="str">
        <f t="shared" si="0"/>
        <v/>
      </c>
      <c r="N9" s="175" t="str">
        <f>_xlfn.IFNA(IF(OR(L9&gt;50, OR(OR(VLOOKUP(D9,'Selection Lists'!$A$4:$B$17, 2, FALSE)&lt;3/8, VLOOKUP(D9, 'Selection Lists'!$A$4:$B$17, 2, FALSE)&gt;2)), OR(INT(F9)&lt;10, INT(F9)&gt;55)), $Q$5, ""), "") &amp; " " &amp; _xlfn.IFNA(IF(AND(VLOOKUP(D9, 'Selection Lists'!$A$4:$B$17, 2, FALSE)&lt;1.5, INT(F9)&gt;45), $Q$6, ""), "") &amp; " " &amp; _xlfn.IFNA(IF(AND(OR(G9="X",H9="X"), OR(VLOOKUP(D9, 'Selection Lists'!$A$4:$B$17, 2, FALSE)&lt;0.75, INT(F9)&gt;45)), $Q$7, ""), "")</f>
        <v xml:space="preserve">  </v>
      </c>
      <c r="Q9" s="131" t="s">
        <v>96</v>
      </c>
      <c r="R9" s="132"/>
      <c r="S9" s="133" t="s">
        <v>97</v>
      </c>
      <c r="T9" s="134"/>
      <c r="U9" s="134"/>
      <c r="V9" s="134"/>
      <c r="W9" s="134"/>
      <c r="X9" s="134"/>
      <c r="Y9" s="134"/>
      <c r="Z9" s="134"/>
      <c r="AA9" s="134"/>
      <c r="AB9" s="134"/>
    </row>
    <row r="10" spans="1:28" x14ac:dyDescent="0.2">
      <c r="A10" s="153">
        <v>3</v>
      </c>
      <c r="B10" s="154" t="s">
        <v>12</v>
      </c>
      <c r="C10" s="30"/>
      <c r="D10" s="31"/>
      <c r="E10" s="32"/>
      <c r="F10" s="33"/>
      <c r="G10" s="45"/>
      <c r="H10" s="34"/>
      <c r="I10" s="34"/>
      <c r="J10" s="34"/>
      <c r="K10" s="34"/>
      <c r="L10" s="173" t="str">
        <f t="shared" si="1"/>
        <v/>
      </c>
      <c r="M10" s="174" t="str">
        <f t="shared" si="0"/>
        <v/>
      </c>
      <c r="N10" s="175" t="str">
        <f>_xlfn.IFNA(IF(OR(L10&gt;50, OR(OR(VLOOKUP(D10,'Selection Lists'!$A$4:$B$17, 2, FALSE)&lt;3/8, VLOOKUP(D10, 'Selection Lists'!$A$4:$B$17, 2, FALSE)&gt;2)), OR(INT(F10)&lt;10, INT(F10)&gt;55)), $Q$5, ""), "") &amp; " " &amp; _xlfn.IFNA(IF(AND(VLOOKUP(D10, 'Selection Lists'!$A$4:$B$17, 2, FALSE)&lt;1.5, INT(F10)&gt;45), $Q$6, ""), "") &amp; " " &amp; _xlfn.IFNA(IF(AND(OR(G10="X",H10="X"), OR(VLOOKUP(D10, 'Selection Lists'!$A$4:$B$17, 2, FALSE)&lt;0.75, INT(F10)&gt;45)), $Q$7, ""), "")</f>
        <v xml:space="preserve">  </v>
      </c>
      <c r="Q10" s="131" t="s">
        <v>98</v>
      </c>
      <c r="R10" s="132"/>
      <c r="S10" s="133" t="s">
        <v>99</v>
      </c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 x14ac:dyDescent="0.2">
      <c r="A11" s="155"/>
      <c r="B11" s="156" t="s">
        <v>13</v>
      </c>
      <c r="C11" s="26"/>
      <c r="D11" s="27"/>
      <c r="E11" s="26"/>
      <c r="F11" s="28"/>
      <c r="G11" s="46"/>
      <c r="H11" s="29"/>
      <c r="I11" s="29"/>
      <c r="J11" s="29"/>
      <c r="K11" s="29"/>
      <c r="L11" s="176" t="str">
        <f t="shared" si="1"/>
        <v/>
      </c>
      <c r="M11" s="177" t="str">
        <f t="shared" si="0"/>
        <v/>
      </c>
      <c r="N11" s="175" t="str">
        <f>_xlfn.IFNA(IF(OR(L11&gt;50, OR(OR(VLOOKUP(D11,'Selection Lists'!$A$4:$B$17, 2, FALSE)&lt;3/8, VLOOKUP(D11, 'Selection Lists'!$A$4:$B$17, 2, FALSE)&gt;2)), OR(INT(F11)&lt;10, INT(F11)&gt;55)), $Q$5, ""), "") &amp; " " &amp; _xlfn.IFNA(IF(AND(VLOOKUP(D11, 'Selection Lists'!$A$4:$B$17, 2, FALSE)&lt;1.5, INT(F11)&gt;45), $Q$6, ""), "") &amp; " " &amp; _xlfn.IFNA(IF(AND(OR(G11="X",H11="X"), OR(VLOOKUP(D11, 'Selection Lists'!$A$4:$B$17, 2, FALSE)&lt;0.75, INT(F11)&gt;45)), $Q$7, ""), "")</f>
        <v xml:space="preserve">  </v>
      </c>
      <c r="Q11" s="131" t="s">
        <v>113</v>
      </c>
      <c r="R11" s="132"/>
      <c r="S11" s="133" t="s">
        <v>111</v>
      </c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3.5" thickBot="1" x14ac:dyDescent="0.25">
      <c r="A12" s="157"/>
      <c r="B12" s="158" t="s">
        <v>14</v>
      </c>
      <c r="C12" s="35"/>
      <c r="D12" s="36"/>
      <c r="E12" s="35"/>
      <c r="F12" s="37"/>
      <c r="G12" s="47"/>
      <c r="H12" s="38"/>
      <c r="I12" s="38"/>
      <c r="J12" s="38"/>
      <c r="K12" s="38"/>
      <c r="L12" s="178" t="str">
        <f t="shared" si="1"/>
        <v/>
      </c>
      <c r="M12" s="179" t="str">
        <f t="shared" si="0"/>
        <v/>
      </c>
      <c r="N12" s="175" t="str">
        <f>_xlfn.IFNA(IF(OR(L12&gt;50, OR(OR(VLOOKUP(D12,'Selection Lists'!$A$4:$B$17, 2, FALSE)&lt;3/8, VLOOKUP(D12, 'Selection Lists'!$A$4:$B$17, 2, FALSE)&gt;2)), OR(INT(F12)&lt;10, INT(F12)&gt;55)), $Q$5, ""), "") &amp; " " &amp; _xlfn.IFNA(IF(AND(VLOOKUP(D12, 'Selection Lists'!$A$4:$B$17, 2, FALSE)&lt;1.5, INT(F12)&gt;45), $Q$6, ""), "") &amp; " " &amp; _xlfn.IFNA(IF(AND(OR(G12="X",H12="X"), OR(VLOOKUP(D12, 'Selection Lists'!$A$4:$B$17, 2, FALSE)&lt;0.75, INT(F12)&gt;45)), $Q$7, ""), "")</f>
        <v xml:space="preserve">  </v>
      </c>
    </row>
    <row r="13" spans="1:28" x14ac:dyDescent="0.2">
      <c r="A13" s="153">
        <v>4</v>
      </c>
      <c r="B13" s="154" t="s">
        <v>12</v>
      </c>
      <c r="C13" s="30"/>
      <c r="D13" s="31"/>
      <c r="E13" s="32"/>
      <c r="F13" s="33"/>
      <c r="G13" s="45"/>
      <c r="H13" s="34"/>
      <c r="I13" s="34"/>
      <c r="J13" s="34"/>
      <c r="K13" s="34"/>
      <c r="L13" s="173" t="str">
        <f t="shared" si="1"/>
        <v/>
      </c>
      <c r="M13" s="174" t="str">
        <f t="shared" si="0"/>
        <v/>
      </c>
      <c r="N13" s="175" t="str">
        <f>_xlfn.IFNA(IF(OR(L13&gt;50, OR(OR(VLOOKUP(D13,'Selection Lists'!$A$4:$B$17, 2, FALSE)&lt;3/8, VLOOKUP(D13, 'Selection Lists'!$A$4:$B$17, 2, FALSE)&gt;2)), OR(INT(F13)&lt;10, INT(F13)&gt;55)), $Q$5, ""), "") &amp; " " &amp; _xlfn.IFNA(IF(AND(VLOOKUP(D13, 'Selection Lists'!$A$4:$B$17, 2, FALSE)&lt;1.5, INT(F13)&gt;45), $Q$6, ""), "") &amp; " " &amp; _xlfn.IFNA(IF(AND(OR(G13="X",H13="X"), OR(VLOOKUP(D13, 'Selection Lists'!$A$4:$B$17, 2, FALSE)&lt;0.75, INT(F13)&gt;45)), $Q$7, ""), "")</f>
        <v xml:space="preserve">  </v>
      </c>
    </row>
    <row r="14" spans="1:28" x14ac:dyDescent="0.2">
      <c r="A14" s="155"/>
      <c r="B14" s="156" t="s">
        <v>13</v>
      </c>
      <c r="C14" s="26"/>
      <c r="D14" s="27"/>
      <c r="E14" s="26"/>
      <c r="F14" s="28"/>
      <c r="G14" s="46"/>
      <c r="H14" s="29"/>
      <c r="I14" s="29"/>
      <c r="J14" s="29"/>
      <c r="K14" s="29"/>
      <c r="L14" s="176" t="str">
        <f t="shared" si="1"/>
        <v/>
      </c>
      <c r="M14" s="177" t="str">
        <f t="shared" si="0"/>
        <v/>
      </c>
      <c r="N14" s="175" t="str">
        <f>_xlfn.IFNA(IF(OR(L14&gt;50, OR(OR(VLOOKUP(D14,'Selection Lists'!$A$4:$B$17, 2, FALSE)&lt;3/8, VLOOKUP(D14, 'Selection Lists'!$A$4:$B$17, 2, FALSE)&gt;2)), OR(INT(F14)&lt;10, INT(F14)&gt;55)), $Q$5, ""), "") &amp; " " &amp; _xlfn.IFNA(IF(AND(VLOOKUP(D14, 'Selection Lists'!$A$4:$B$17, 2, FALSE)&lt;1.5, INT(F14)&gt;45), $Q$6, ""), "") &amp; " " &amp; _xlfn.IFNA(IF(AND(OR(G14="X",H14="X"), OR(VLOOKUP(D14, 'Selection Lists'!$A$4:$B$17, 2, FALSE)&lt;0.75, INT(F14)&gt;45)), $Q$7, ""), "")</f>
        <v xml:space="preserve">  </v>
      </c>
    </row>
    <row r="15" spans="1:28" ht="13.5" thickBot="1" x14ac:dyDescent="0.25">
      <c r="A15" s="157"/>
      <c r="B15" s="158" t="s">
        <v>14</v>
      </c>
      <c r="C15" s="35"/>
      <c r="D15" s="36"/>
      <c r="E15" s="35"/>
      <c r="F15" s="37"/>
      <c r="G15" s="47"/>
      <c r="H15" s="38"/>
      <c r="I15" s="38"/>
      <c r="J15" s="38"/>
      <c r="K15" s="38"/>
      <c r="L15" s="178" t="str">
        <f t="shared" si="1"/>
        <v/>
      </c>
      <c r="M15" s="179" t="str">
        <f t="shared" si="0"/>
        <v/>
      </c>
      <c r="N15" s="175" t="str">
        <f>_xlfn.IFNA(IF(OR(L15&gt;50, OR(OR(VLOOKUP(D15,'Selection Lists'!$A$4:$B$17, 2, FALSE)&lt;3/8, VLOOKUP(D15, 'Selection Lists'!$A$4:$B$17, 2, FALSE)&gt;2)), OR(INT(F15)&lt;10, INT(F15)&gt;55)), $Q$5, ""), "") &amp; " " &amp; _xlfn.IFNA(IF(AND(VLOOKUP(D15, 'Selection Lists'!$A$4:$B$17, 2, FALSE)&lt;1.5, INT(F15)&gt;45), $Q$6, ""), "") &amp; " " &amp; _xlfn.IFNA(IF(AND(OR(G15="X",H15="X"), OR(VLOOKUP(D15, 'Selection Lists'!$A$4:$B$17, 2, FALSE)&lt;0.75, INT(F15)&gt;45)), $Q$7, ""), "")</f>
        <v xml:space="preserve">  </v>
      </c>
    </row>
    <row r="16" spans="1:28" x14ac:dyDescent="0.2">
      <c r="A16" s="153">
        <v>5</v>
      </c>
      <c r="B16" s="154" t="s">
        <v>12</v>
      </c>
      <c r="C16" s="30"/>
      <c r="D16" s="31"/>
      <c r="E16" s="32"/>
      <c r="F16" s="33"/>
      <c r="G16" s="45"/>
      <c r="H16" s="34"/>
      <c r="I16" s="34"/>
      <c r="J16" s="34"/>
      <c r="K16" s="34"/>
      <c r="L16" s="173" t="str">
        <f t="shared" si="1"/>
        <v/>
      </c>
      <c r="M16" s="174" t="str">
        <f t="shared" si="0"/>
        <v/>
      </c>
      <c r="N16" s="175" t="str">
        <f>_xlfn.IFNA(IF(OR(L16&gt;50, OR(OR(VLOOKUP(D16,'Selection Lists'!$A$4:$B$17, 2, FALSE)&lt;3/8, VLOOKUP(D16, 'Selection Lists'!$A$4:$B$17, 2, FALSE)&gt;2)), OR(INT(F16)&lt;10, INT(F16)&gt;55)), $Q$5, ""), "") &amp; " " &amp; _xlfn.IFNA(IF(AND(VLOOKUP(D16, 'Selection Lists'!$A$4:$B$17, 2, FALSE)&lt;1.5, INT(F16)&gt;45), $Q$6, ""), "") &amp; " " &amp; _xlfn.IFNA(IF(AND(OR(G16="X",H16="X"), OR(VLOOKUP(D16, 'Selection Lists'!$A$4:$B$17, 2, FALSE)&lt;0.75, INT(F16)&gt;45)), $Q$7, ""), "")</f>
        <v xml:space="preserve">  </v>
      </c>
    </row>
    <row r="17" spans="1:16" x14ac:dyDescent="0.2">
      <c r="A17" s="155"/>
      <c r="B17" s="156" t="s">
        <v>13</v>
      </c>
      <c r="C17" s="26"/>
      <c r="D17" s="27"/>
      <c r="E17" s="26"/>
      <c r="F17" s="28"/>
      <c r="G17" s="46"/>
      <c r="H17" s="29"/>
      <c r="I17" s="29"/>
      <c r="J17" s="29"/>
      <c r="K17" s="29"/>
      <c r="L17" s="176" t="str">
        <f t="shared" si="1"/>
        <v/>
      </c>
      <c r="M17" s="177" t="str">
        <f t="shared" si="0"/>
        <v/>
      </c>
      <c r="N17" s="175" t="str">
        <f>_xlfn.IFNA(IF(OR(L17&gt;50, OR(OR(VLOOKUP(D17,'Selection Lists'!$A$4:$B$17, 2, FALSE)&lt;3/8, VLOOKUP(D17, 'Selection Lists'!$A$4:$B$17, 2, FALSE)&gt;2)), OR(INT(F17)&lt;10, INT(F17)&gt;55)), $Q$5, ""), "") &amp; " " &amp; _xlfn.IFNA(IF(AND(VLOOKUP(D17, 'Selection Lists'!$A$4:$B$17, 2, FALSE)&lt;1.5, INT(F17)&gt;45), $Q$6, ""), "") &amp; " " &amp; _xlfn.IFNA(IF(AND(OR(G17="X",H17="X"), OR(VLOOKUP(D17, 'Selection Lists'!$A$4:$B$17, 2, FALSE)&lt;0.75, INT(F17)&gt;45)), $Q$7, ""), "")</f>
        <v xml:space="preserve">  </v>
      </c>
    </row>
    <row r="18" spans="1:16" ht="13.5" thickBot="1" x14ac:dyDescent="0.25">
      <c r="A18" s="157"/>
      <c r="B18" s="158" t="s">
        <v>14</v>
      </c>
      <c r="C18" s="35"/>
      <c r="D18" s="36"/>
      <c r="E18" s="35"/>
      <c r="F18" s="37"/>
      <c r="G18" s="47"/>
      <c r="H18" s="38"/>
      <c r="I18" s="38"/>
      <c r="J18" s="38"/>
      <c r="K18" s="38"/>
      <c r="L18" s="178" t="str">
        <f t="shared" si="1"/>
        <v/>
      </c>
      <c r="M18" s="179" t="str">
        <f t="shared" si="0"/>
        <v/>
      </c>
      <c r="N18" s="175" t="str">
        <f>_xlfn.IFNA(IF(OR(L18&gt;50, OR(OR(VLOOKUP(D18,'Selection Lists'!$A$4:$B$17, 2, FALSE)&lt;3/8, VLOOKUP(D18, 'Selection Lists'!$A$4:$B$17, 2, FALSE)&gt;2)), OR(INT(F18)&lt;10, INT(F18)&gt;55)), $Q$5, ""), "") &amp; " " &amp; _xlfn.IFNA(IF(AND(VLOOKUP(D18, 'Selection Lists'!$A$4:$B$17, 2, FALSE)&lt;1.5, INT(F18)&gt;45), $Q$6, ""), "") &amp; " " &amp; _xlfn.IFNA(IF(AND(OR(G18="X",H18="X"), OR(VLOOKUP(D18, 'Selection Lists'!$A$4:$B$17, 2, FALSE)&lt;0.75, INT(F18)&gt;45)), $Q$7, ""), "")</f>
        <v xml:space="preserve">  </v>
      </c>
    </row>
    <row r="19" spans="1:16" x14ac:dyDescent="0.2">
      <c r="A19" s="153">
        <v>6</v>
      </c>
      <c r="B19" s="154" t="s">
        <v>12</v>
      </c>
      <c r="C19" s="30"/>
      <c r="D19" s="31"/>
      <c r="E19" s="32"/>
      <c r="F19" s="33"/>
      <c r="G19" s="45"/>
      <c r="H19" s="34"/>
      <c r="I19" s="34"/>
      <c r="J19" s="34"/>
      <c r="K19" s="34"/>
      <c r="L19" s="173" t="str">
        <f t="shared" si="1"/>
        <v/>
      </c>
      <c r="M19" s="174" t="str">
        <f t="shared" si="0"/>
        <v/>
      </c>
      <c r="N19" s="175" t="str">
        <f>_xlfn.IFNA(IF(OR(L19&gt;50, OR(OR(VLOOKUP(D19,'Selection Lists'!$A$4:$B$17, 2, FALSE)&lt;3/8, VLOOKUP(D19, 'Selection Lists'!$A$4:$B$17, 2, FALSE)&gt;2)), OR(INT(F19)&lt;10, INT(F19)&gt;55)), $Q$5, ""), "") &amp; " " &amp; _xlfn.IFNA(IF(AND(VLOOKUP(D19, 'Selection Lists'!$A$4:$B$17, 2, FALSE)&lt;1.5, INT(F19)&gt;45), $Q$6, ""), "") &amp; " " &amp; _xlfn.IFNA(IF(AND(OR(G19="X",H19="X"), OR(VLOOKUP(D19, 'Selection Lists'!$A$4:$B$17, 2, FALSE)&lt;0.75, INT(F19)&gt;45)), $Q$7, ""), "")</f>
        <v xml:space="preserve">  </v>
      </c>
    </row>
    <row r="20" spans="1:16" x14ac:dyDescent="0.2">
      <c r="A20" s="155"/>
      <c r="B20" s="156" t="s">
        <v>13</v>
      </c>
      <c r="C20" s="26"/>
      <c r="D20" s="27"/>
      <c r="E20" s="26"/>
      <c r="F20" s="28"/>
      <c r="G20" s="46"/>
      <c r="H20" s="29"/>
      <c r="I20" s="29"/>
      <c r="J20" s="29"/>
      <c r="K20" s="29"/>
      <c r="L20" s="176" t="str">
        <f t="shared" si="1"/>
        <v/>
      </c>
      <c r="M20" s="177" t="str">
        <f t="shared" si="0"/>
        <v/>
      </c>
      <c r="N20" s="175" t="str">
        <f>_xlfn.IFNA(IF(OR(L20&gt;50, OR(OR(VLOOKUP(D20,'Selection Lists'!$A$4:$B$17, 2, FALSE)&lt;3/8, VLOOKUP(D20, 'Selection Lists'!$A$4:$B$17, 2, FALSE)&gt;2)), OR(INT(F20)&lt;10, INT(F20)&gt;55)), $Q$5, ""), "") &amp; " " &amp; _xlfn.IFNA(IF(AND(VLOOKUP(D20, 'Selection Lists'!$A$4:$B$17, 2, FALSE)&lt;1.5, INT(F20)&gt;45), $Q$6, ""), "") &amp; " " &amp; _xlfn.IFNA(IF(AND(OR(G20="X",H20="X"), OR(VLOOKUP(D20, 'Selection Lists'!$A$4:$B$17, 2, FALSE)&lt;0.75, INT(F20)&gt;45)), $Q$7, ""), "")</f>
        <v xml:space="preserve">  </v>
      </c>
    </row>
    <row r="21" spans="1:16" ht="13.5" thickBot="1" x14ac:dyDescent="0.25">
      <c r="A21" s="157"/>
      <c r="B21" s="158" t="s">
        <v>14</v>
      </c>
      <c r="C21" s="35"/>
      <c r="D21" s="36"/>
      <c r="E21" s="35"/>
      <c r="F21" s="37"/>
      <c r="G21" s="47"/>
      <c r="H21" s="38"/>
      <c r="I21" s="38"/>
      <c r="J21" s="38"/>
      <c r="K21" s="38"/>
      <c r="L21" s="178" t="str">
        <f t="shared" si="1"/>
        <v/>
      </c>
      <c r="M21" s="179" t="str">
        <f t="shared" si="0"/>
        <v/>
      </c>
      <c r="N21" s="175" t="str">
        <f>_xlfn.IFNA(IF(OR(L21&gt;50, OR(OR(VLOOKUP(D21,'Selection Lists'!$A$4:$B$17, 2, FALSE)&lt;3/8, VLOOKUP(D21, 'Selection Lists'!$A$4:$B$17, 2, FALSE)&gt;2)), OR(INT(F21)&lt;10, INT(F21)&gt;55)), $Q$5, ""), "") &amp; " " &amp; _xlfn.IFNA(IF(AND(VLOOKUP(D21, 'Selection Lists'!$A$4:$B$17, 2, FALSE)&lt;1.5, INT(F21)&gt;45), $Q$6, ""), "") &amp; " " &amp; _xlfn.IFNA(IF(AND(OR(G21="X",H21="X"), OR(VLOOKUP(D21, 'Selection Lists'!$A$4:$B$17, 2, FALSE)&lt;0.75, INT(F21)&gt;45)), $Q$7, ""), "")</f>
        <v xml:space="preserve">  </v>
      </c>
      <c r="P21" s="180"/>
    </row>
    <row r="22" spans="1:16" x14ac:dyDescent="0.2">
      <c r="A22" s="153">
        <v>7</v>
      </c>
      <c r="B22" s="154" t="s">
        <v>12</v>
      </c>
      <c r="C22" s="30"/>
      <c r="D22" s="31"/>
      <c r="E22" s="32"/>
      <c r="F22" s="33"/>
      <c r="G22" s="45"/>
      <c r="H22" s="34"/>
      <c r="I22" s="34"/>
      <c r="J22" s="34"/>
      <c r="K22" s="34"/>
      <c r="L22" s="173" t="str">
        <f t="shared" si="1"/>
        <v/>
      </c>
      <c r="M22" s="174" t="str">
        <f t="shared" si="0"/>
        <v/>
      </c>
      <c r="N22" s="175" t="str">
        <f>_xlfn.IFNA(IF(OR(L22&gt;50, OR(OR(VLOOKUP(D22,'Selection Lists'!$A$4:$B$17, 2, FALSE)&lt;3/8, VLOOKUP(D22, 'Selection Lists'!$A$4:$B$17, 2, FALSE)&gt;2)), OR(INT(F22)&lt;10, INT(F22)&gt;55)), $Q$5, ""), "") &amp; " " &amp; _xlfn.IFNA(IF(AND(VLOOKUP(D22, 'Selection Lists'!$A$4:$B$17, 2, FALSE)&lt;1.5, INT(F22)&gt;45), $Q$6, ""), "") &amp; " " &amp; _xlfn.IFNA(IF(AND(OR(G22="X",H22="X"), OR(VLOOKUP(D22, 'Selection Lists'!$A$4:$B$17, 2, FALSE)&lt;0.75, INT(F22)&gt;45)), $Q$7, ""), "")</f>
        <v xml:space="preserve">  </v>
      </c>
    </row>
    <row r="23" spans="1:16" x14ac:dyDescent="0.2">
      <c r="A23" s="155"/>
      <c r="B23" s="156" t="s">
        <v>13</v>
      </c>
      <c r="C23" s="26"/>
      <c r="D23" s="27"/>
      <c r="E23" s="26"/>
      <c r="F23" s="28"/>
      <c r="G23" s="46"/>
      <c r="H23" s="29"/>
      <c r="I23" s="29"/>
      <c r="J23" s="29"/>
      <c r="K23" s="29"/>
      <c r="L23" s="176" t="str">
        <f t="shared" si="1"/>
        <v/>
      </c>
      <c r="M23" s="177" t="str">
        <f t="shared" si="0"/>
        <v/>
      </c>
      <c r="N23" s="175" t="str">
        <f>_xlfn.IFNA(IF(OR(L23&gt;50, OR(OR(VLOOKUP(D23,'Selection Lists'!$A$4:$B$17, 2, FALSE)&lt;3/8, VLOOKUP(D23, 'Selection Lists'!$A$4:$B$17, 2, FALSE)&gt;2)), OR(INT(F23)&lt;10, INT(F23)&gt;55)), $Q$5, ""), "") &amp; " " &amp; _xlfn.IFNA(IF(AND(VLOOKUP(D23, 'Selection Lists'!$A$4:$B$17, 2, FALSE)&lt;1.5, INT(F23)&gt;45), $Q$6, ""), "") &amp; " " &amp; _xlfn.IFNA(IF(AND(OR(G23="X",H23="X"), OR(VLOOKUP(D23, 'Selection Lists'!$A$4:$B$17, 2, FALSE)&lt;0.75, INT(F23)&gt;45)), $Q$7, ""), "")</f>
        <v xml:space="preserve">  </v>
      </c>
      <c r="O23" s="180"/>
      <c r="P23" s="180"/>
    </row>
    <row r="24" spans="1:16" ht="13.5" thickBot="1" x14ac:dyDescent="0.25">
      <c r="A24" s="157"/>
      <c r="B24" s="158" t="s">
        <v>14</v>
      </c>
      <c r="C24" s="35"/>
      <c r="D24" s="36"/>
      <c r="E24" s="35"/>
      <c r="F24" s="37"/>
      <c r="G24" s="47"/>
      <c r="H24" s="38"/>
      <c r="I24" s="38"/>
      <c r="J24" s="38"/>
      <c r="K24" s="38"/>
      <c r="L24" s="178" t="str">
        <f t="shared" si="1"/>
        <v/>
      </c>
      <c r="M24" s="179" t="str">
        <f t="shared" si="0"/>
        <v/>
      </c>
      <c r="N24" s="175" t="str">
        <f>_xlfn.IFNA(IF(OR(L24&gt;50, OR(OR(VLOOKUP(D24,'Selection Lists'!$A$4:$B$17, 2, FALSE)&lt;3/8, VLOOKUP(D24, 'Selection Lists'!$A$4:$B$17, 2, FALSE)&gt;2)), OR(INT(F24)&lt;10, INT(F24)&gt;55)), $Q$5, ""), "") &amp; " " &amp; _xlfn.IFNA(IF(AND(VLOOKUP(D24, 'Selection Lists'!$A$4:$B$17, 2, FALSE)&lt;1.5, INT(F24)&gt;45), $Q$6, ""), "") &amp; " " &amp; _xlfn.IFNA(IF(AND(OR(G24="X",H24="X"), OR(VLOOKUP(D24, 'Selection Lists'!$A$4:$B$17, 2, FALSE)&lt;0.75, INT(F24)&gt;45)), $Q$7, ""), "")</f>
        <v xml:space="preserve">  </v>
      </c>
      <c r="P24" s="180"/>
    </row>
    <row r="25" spans="1:16" x14ac:dyDescent="0.2">
      <c r="A25" s="153">
        <v>8</v>
      </c>
      <c r="B25" s="154" t="s">
        <v>12</v>
      </c>
      <c r="C25" s="30"/>
      <c r="D25" s="31"/>
      <c r="E25" s="32"/>
      <c r="F25" s="33"/>
      <c r="G25" s="45"/>
      <c r="H25" s="34"/>
      <c r="I25" s="34"/>
      <c r="J25" s="34"/>
      <c r="K25" s="34"/>
      <c r="L25" s="173" t="str">
        <f t="shared" si="1"/>
        <v/>
      </c>
      <c r="M25" s="174" t="str">
        <f t="shared" si="0"/>
        <v/>
      </c>
      <c r="N25" s="175" t="str">
        <f>_xlfn.IFNA(IF(OR(L25&gt;50, OR(OR(VLOOKUP(D25,'Selection Lists'!$A$4:$B$17, 2, FALSE)&lt;3/8, VLOOKUP(D25, 'Selection Lists'!$A$4:$B$17, 2, FALSE)&gt;2)), OR(INT(F25)&lt;10, INT(F25)&gt;55)), $Q$5, ""), "") &amp; " " &amp; _xlfn.IFNA(IF(AND(VLOOKUP(D25, 'Selection Lists'!$A$4:$B$17, 2, FALSE)&lt;1.5, INT(F25)&gt;45), $Q$6, ""), "") &amp; " " &amp; _xlfn.IFNA(IF(AND(OR(G25="X",H25="X"), OR(VLOOKUP(D25, 'Selection Lists'!$A$4:$B$17, 2, FALSE)&lt;0.75, INT(F25)&gt;45)), $Q$7, ""), "")</f>
        <v xml:space="preserve">  </v>
      </c>
      <c r="O25" s="180"/>
    </row>
    <row r="26" spans="1:16" x14ac:dyDescent="0.2">
      <c r="A26" s="155"/>
      <c r="B26" s="156" t="s">
        <v>13</v>
      </c>
      <c r="C26" s="26"/>
      <c r="D26" s="27"/>
      <c r="E26" s="26"/>
      <c r="F26" s="28"/>
      <c r="G26" s="46"/>
      <c r="H26" s="29"/>
      <c r="I26" s="29"/>
      <c r="J26" s="29"/>
      <c r="K26" s="29"/>
      <c r="L26" s="176" t="str">
        <f t="shared" si="1"/>
        <v/>
      </c>
      <c r="M26" s="177" t="str">
        <f t="shared" si="0"/>
        <v/>
      </c>
      <c r="N26" s="175" t="str">
        <f>_xlfn.IFNA(IF(OR(L26&gt;50, OR(OR(VLOOKUP(D26,'Selection Lists'!$A$4:$B$17, 2, FALSE)&lt;3/8, VLOOKUP(D26, 'Selection Lists'!$A$4:$B$17, 2, FALSE)&gt;2)), OR(INT(F26)&lt;10, INT(F26)&gt;55)), $Q$5, ""), "") &amp; " " &amp; _xlfn.IFNA(IF(AND(VLOOKUP(D26, 'Selection Lists'!$A$4:$B$17, 2, FALSE)&lt;1.5, INT(F26)&gt;45), $Q$6, ""), "") &amp; " " &amp; _xlfn.IFNA(IF(AND(OR(G26="X",H26="X"), OR(VLOOKUP(D26, 'Selection Lists'!$A$4:$B$17, 2, FALSE)&lt;0.75, INT(F26)&gt;45)), $Q$7, ""), "")</f>
        <v xml:space="preserve">  </v>
      </c>
      <c r="O26" s="180"/>
      <c r="P26" s="180"/>
    </row>
    <row r="27" spans="1:16" ht="13.5" thickBot="1" x14ac:dyDescent="0.25">
      <c r="A27" s="157"/>
      <c r="B27" s="158" t="s">
        <v>14</v>
      </c>
      <c r="C27" s="35"/>
      <c r="D27" s="36"/>
      <c r="E27" s="35"/>
      <c r="F27" s="37"/>
      <c r="G27" s="47"/>
      <c r="H27" s="38"/>
      <c r="I27" s="38"/>
      <c r="J27" s="38"/>
      <c r="K27" s="38"/>
      <c r="L27" s="178" t="str">
        <f t="shared" si="1"/>
        <v/>
      </c>
      <c r="M27" s="179" t="str">
        <f t="shared" si="0"/>
        <v/>
      </c>
      <c r="N27" s="175" t="str">
        <f>_xlfn.IFNA(IF(OR(L27&gt;50, OR(OR(VLOOKUP(D27,'Selection Lists'!$A$4:$B$17, 2, FALSE)&lt;3/8, VLOOKUP(D27, 'Selection Lists'!$A$4:$B$17, 2, FALSE)&gt;2)), OR(INT(F27)&lt;10, INT(F27)&gt;55)), $Q$5, ""), "") &amp; " " &amp; _xlfn.IFNA(IF(AND(VLOOKUP(D27, 'Selection Lists'!$A$4:$B$17, 2, FALSE)&lt;1.5, INT(F27)&gt;45), $Q$6, ""), "") &amp; " " &amp; _xlfn.IFNA(IF(AND(OR(G27="X",H27="X"), OR(VLOOKUP(D27, 'Selection Lists'!$A$4:$B$17, 2, FALSE)&lt;0.75, INT(F27)&gt;45)), $Q$7, ""), "")</f>
        <v xml:space="preserve">  </v>
      </c>
      <c r="P27" s="180"/>
    </row>
    <row r="28" spans="1:16" x14ac:dyDescent="0.2">
      <c r="A28" s="153">
        <v>9</v>
      </c>
      <c r="B28" s="154" t="s">
        <v>12</v>
      </c>
      <c r="C28" s="30"/>
      <c r="D28" s="31"/>
      <c r="E28" s="32"/>
      <c r="F28" s="33"/>
      <c r="G28" s="45"/>
      <c r="H28" s="34"/>
      <c r="I28" s="34"/>
      <c r="J28" s="34"/>
      <c r="K28" s="34"/>
      <c r="L28" s="173" t="str">
        <f t="shared" si="1"/>
        <v/>
      </c>
      <c r="M28" s="174" t="str">
        <f t="shared" si="0"/>
        <v/>
      </c>
      <c r="N28" s="175" t="str">
        <f>_xlfn.IFNA(IF(OR(L28&gt;50, OR(OR(VLOOKUP(D28,'Selection Lists'!$A$4:$B$17, 2, FALSE)&lt;3/8, VLOOKUP(D28, 'Selection Lists'!$A$4:$B$17, 2, FALSE)&gt;2)), OR(INT(F28)&lt;10, INT(F28)&gt;55)), $Q$5, ""), "") &amp; " " &amp; _xlfn.IFNA(IF(AND(VLOOKUP(D28, 'Selection Lists'!$A$4:$B$17, 2, FALSE)&lt;1.5, INT(F28)&gt;45), $Q$6, ""), "") &amp; " " &amp; _xlfn.IFNA(IF(AND(OR(G28="X",H28="X"), OR(VLOOKUP(D28, 'Selection Lists'!$A$4:$B$17, 2, FALSE)&lt;0.75, INT(F28)&gt;45)), $Q$7, ""), "")</f>
        <v xml:space="preserve">  </v>
      </c>
      <c r="O28" s="180"/>
    </row>
    <row r="29" spans="1:16" x14ac:dyDescent="0.2">
      <c r="A29" s="155"/>
      <c r="B29" s="156" t="s">
        <v>13</v>
      </c>
      <c r="C29" s="26"/>
      <c r="D29" s="27"/>
      <c r="E29" s="26"/>
      <c r="F29" s="28"/>
      <c r="G29" s="46"/>
      <c r="H29" s="29"/>
      <c r="I29" s="29"/>
      <c r="J29" s="29"/>
      <c r="K29" s="29"/>
      <c r="L29" s="176" t="str">
        <f t="shared" si="1"/>
        <v/>
      </c>
      <c r="M29" s="177" t="str">
        <f t="shared" si="0"/>
        <v/>
      </c>
      <c r="N29" s="175" t="str">
        <f>_xlfn.IFNA(IF(OR(L29&gt;50, OR(OR(VLOOKUP(D29,'Selection Lists'!$A$4:$B$17, 2, FALSE)&lt;3/8, VLOOKUP(D29, 'Selection Lists'!$A$4:$B$17, 2, FALSE)&gt;2)), OR(INT(F29)&lt;10, INT(F29)&gt;55)), $Q$5, ""), "") &amp; " " &amp; _xlfn.IFNA(IF(AND(VLOOKUP(D29, 'Selection Lists'!$A$4:$B$17, 2, FALSE)&lt;1.5, INT(F29)&gt;45), $Q$6, ""), "") &amp; " " &amp; _xlfn.IFNA(IF(AND(OR(G29="X",H29="X"), OR(VLOOKUP(D29, 'Selection Lists'!$A$4:$B$17, 2, FALSE)&lt;0.75, INT(F29)&gt;45)), $Q$7, ""), "")</f>
        <v xml:space="preserve">  </v>
      </c>
      <c r="O29" s="180"/>
    </row>
    <row r="30" spans="1:16" ht="13.5" thickBot="1" x14ac:dyDescent="0.25">
      <c r="A30" s="157"/>
      <c r="B30" s="158" t="s">
        <v>14</v>
      </c>
      <c r="C30" s="35"/>
      <c r="D30" s="36"/>
      <c r="E30" s="35"/>
      <c r="F30" s="37"/>
      <c r="G30" s="47"/>
      <c r="H30" s="38"/>
      <c r="I30" s="38"/>
      <c r="J30" s="38"/>
      <c r="K30" s="38"/>
      <c r="L30" s="178" t="str">
        <f t="shared" si="1"/>
        <v/>
      </c>
      <c r="M30" s="179" t="str">
        <f t="shared" si="0"/>
        <v/>
      </c>
      <c r="N30" s="175" t="str">
        <f>_xlfn.IFNA(IF(OR(L30&gt;50, OR(OR(VLOOKUP(D30,'Selection Lists'!$A$4:$B$17, 2, FALSE)&lt;3/8, VLOOKUP(D30, 'Selection Lists'!$A$4:$B$17, 2, FALSE)&gt;2)), OR(INT(F30)&lt;10, INT(F30)&gt;55)), $Q$5, ""), "") &amp; " " &amp; _xlfn.IFNA(IF(AND(VLOOKUP(D30, 'Selection Lists'!$A$4:$B$17, 2, FALSE)&lt;1.5, INT(F30)&gt;45), $Q$6, ""), "") &amp; " " &amp; _xlfn.IFNA(IF(AND(OR(G30="X",H30="X"), OR(VLOOKUP(D30, 'Selection Lists'!$A$4:$B$17, 2, FALSE)&lt;0.75, INT(F30)&gt;45)), $Q$7, ""), "")</f>
        <v xml:space="preserve">  </v>
      </c>
    </row>
    <row r="31" spans="1:16" x14ac:dyDescent="0.2">
      <c r="A31" s="153">
        <v>10</v>
      </c>
      <c r="B31" s="154" t="s">
        <v>12</v>
      </c>
      <c r="C31" s="30"/>
      <c r="D31" s="31"/>
      <c r="E31" s="32"/>
      <c r="F31" s="33"/>
      <c r="G31" s="45"/>
      <c r="H31" s="34"/>
      <c r="I31" s="34"/>
      <c r="J31" s="34"/>
      <c r="K31" s="34"/>
      <c r="L31" s="173" t="str">
        <f t="shared" si="1"/>
        <v/>
      </c>
      <c r="M31" s="174" t="str">
        <f t="shared" si="0"/>
        <v/>
      </c>
      <c r="N31" s="175" t="str">
        <f>_xlfn.IFNA(IF(OR(L31&gt;50, OR(OR(VLOOKUP(D31,'Selection Lists'!$A$4:$B$17, 2, FALSE)&lt;3/8, VLOOKUP(D31, 'Selection Lists'!$A$4:$B$17, 2, FALSE)&gt;2)), OR(INT(F31)&lt;10, INT(F31)&gt;55)), $Q$5, ""), "") &amp; " " &amp; _xlfn.IFNA(IF(AND(VLOOKUP(D31, 'Selection Lists'!$A$4:$B$17, 2, FALSE)&lt;1.5, INT(F31)&gt;45), $Q$6, ""), "") &amp; " " &amp; _xlfn.IFNA(IF(AND(OR(G31="X",H31="X"), OR(VLOOKUP(D31, 'Selection Lists'!$A$4:$B$17, 2, FALSE)&lt;0.75, INT(F31)&gt;45)), $Q$7, ""), "")</f>
        <v xml:space="preserve">  </v>
      </c>
    </row>
    <row r="32" spans="1:16" x14ac:dyDescent="0.2">
      <c r="A32" s="155"/>
      <c r="B32" s="156" t="s">
        <v>13</v>
      </c>
      <c r="C32" s="26"/>
      <c r="D32" s="27"/>
      <c r="E32" s="26"/>
      <c r="F32" s="28"/>
      <c r="G32" s="46"/>
      <c r="H32" s="29"/>
      <c r="I32" s="29"/>
      <c r="J32" s="29"/>
      <c r="K32" s="29"/>
      <c r="L32" s="176" t="str">
        <f t="shared" si="1"/>
        <v/>
      </c>
      <c r="M32" s="177" t="str">
        <f t="shared" si="0"/>
        <v/>
      </c>
      <c r="N32" s="175" t="str">
        <f>_xlfn.IFNA(IF(OR(L32&gt;50, OR(OR(VLOOKUP(D32,'Selection Lists'!$A$4:$B$17, 2, FALSE)&lt;3/8, VLOOKUP(D32, 'Selection Lists'!$A$4:$B$17, 2, FALSE)&gt;2)), OR(INT(F32)&lt;10, INT(F32)&gt;55)), $Q$5, ""), "") &amp; " " &amp; _xlfn.IFNA(IF(AND(VLOOKUP(D32, 'Selection Lists'!$A$4:$B$17, 2, FALSE)&lt;1.5, INT(F32)&gt;45), $Q$6, ""), "") &amp; " " &amp; _xlfn.IFNA(IF(AND(OR(G32="X",H32="X"), OR(VLOOKUP(D32, 'Selection Lists'!$A$4:$B$17, 2, FALSE)&lt;0.75, INT(F32)&gt;45)), $Q$7, ""), "")</f>
        <v xml:space="preserve">  </v>
      </c>
    </row>
    <row r="33" spans="1:14" ht="13.5" thickBot="1" x14ac:dyDescent="0.25">
      <c r="A33" s="157"/>
      <c r="B33" s="158" t="s">
        <v>14</v>
      </c>
      <c r="C33" s="35"/>
      <c r="D33" s="36"/>
      <c r="E33" s="35"/>
      <c r="F33" s="37"/>
      <c r="G33" s="47"/>
      <c r="H33" s="38"/>
      <c r="I33" s="38"/>
      <c r="J33" s="38"/>
      <c r="K33" s="38"/>
      <c r="L33" s="178" t="str">
        <f t="shared" si="1"/>
        <v/>
      </c>
      <c r="M33" s="179" t="str">
        <f t="shared" si="0"/>
        <v/>
      </c>
      <c r="N33" s="175" t="str">
        <f>_xlfn.IFNA(IF(OR(L33&gt;50, OR(OR(VLOOKUP(D33,'Selection Lists'!$A$4:$B$17, 2, FALSE)&lt;3/8, VLOOKUP(D33, 'Selection Lists'!$A$4:$B$17, 2, FALSE)&gt;2)), OR(INT(F33)&lt;10, INT(F33)&gt;55)), $Q$5, ""), "") &amp; " " &amp; _xlfn.IFNA(IF(AND(VLOOKUP(D33, 'Selection Lists'!$A$4:$B$17, 2, FALSE)&lt;1.5, INT(F33)&gt;45), $Q$6, ""), "") &amp; " " &amp; _xlfn.IFNA(IF(AND(OR(G33="X",H33="X"), OR(VLOOKUP(D33, 'Selection Lists'!$A$4:$B$17, 2, FALSE)&lt;0.75, INT(F33)&gt;45)), $Q$7, ""), "")</f>
        <v xml:space="preserve">  </v>
      </c>
    </row>
    <row r="34" spans="1:14" x14ac:dyDescent="0.2">
      <c r="A34" s="153">
        <v>11</v>
      </c>
      <c r="B34" s="154" t="s">
        <v>12</v>
      </c>
      <c r="C34" s="30"/>
      <c r="D34" s="31"/>
      <c r="E34" s="32"/>
      <c r="F34" s="33"/>
      <c r="G34" s="45"/>
      <c r="H34" s="34"/>
      <c r="I34" s="34"/>
      <c r="J34" s="34"/>
      <c r="K34" s="34"/>
      <c r="L34" s="173" t="str">
        <f t="shared" si="1"/>
        <v/>
      </c>
      <c r="M34" s="174" t="str">
        <f t="shared" si="0"/>
        <v/>
      </c>
      <c r="N34" s="175" t="str">
        <f>_xlfn.IFNA(IF(OR(L34&gt;50, OR(OR(VLOOKUP(D34,'Selection Lists'!$A$4:$B$17, 2, FALSE)&lt;3/8, VLOOKUP(D34, 'Selection Lists'!$A$4:$B$17, 2, FALSE)&gt;2)), OR(INT(F34)&lt;10, INT(F34)&gt;55)), $Q$5, ""), "") &amp; " " &amp; _xlfn.IFNA(IF(AND(VLOOKUP(D34, 'Selection Lists'!$A$4:$B$17, 2, FALSE)&lt;1.5, INT(F34)&gt;45), $Q$6, ""), "") &amp; " " &amp; _xlfn.IFNA(IF(AND(OR(G34="X",H34="X"), OR(VLOOKUP(D34, 'Selection Lists'!$A$4:$B$17, 2, FALSE)&lt;0.75, INT(F34)&gt;45)), $Q$7, ""), "")</f>
        <v xml:space="preserve">  </v>
      </c>
    </row>
    <row r="35" spans="1:14" x14ac:dyDescent="0.2">
      <c r="A35" s="155"/>
      <c r="B35" s="156" t="s">
        <v>13</v>
      </c>
      <c r="C35" s="26"/>
      <c r="D35" s="27"/>
      <c r="E35" s="26"/>
      <c r="F35" s="28"/>
      <c r="G35" s="46"/>
      <c r="H35" s="29"/>
      <c r="I35" s="29"/>
      <c r="J35" s="29"/>
      <c r="K35" s="29"/>
      <c r="L35" s="176" t="str">
        <f t="shared" si="1"/>
        <v/>
      </c>
      <c r="M35" s="177" t="str">
        <f t="shared" si="0"/>
        <v/>
      </c>
      <c r="N35" s="175" t="str">
        <f>_xlfn.IFNA(IF(OR(L35&gt;50, OR(OR(VLOOKUP(D35,'Selection Lists'!$A$4:$B$17, 2, FALSE)&lt;3/8, VLOOKUP(D35, 'Selection Lists'!$A$4:$B$17, 2, FALSE)&gt;2)), OR(INT(F35)&lt;10, INT(F35)&gt;55)), $Q$5, ""), "") &amp; " " &amp; _xlfn.IFNA(IF(AND(VLOOKUP(D35, 'Selection Lists'!$A$4:$B$17, 2, FALSE)&lt;1.5, INT(F35)&gt;45), $Q$6, ""), "") &amp; " " &amp; _xlfn.IFNA(IF(AND(OR(G35="X",H35="X"), OR(VLOOKUP(D35, 'Selection Lists'!$A$4:$B$17, 2, FALSE)&lt;0.75, INT(F35)&gt;45)), $Q$7, ""), "")</f>
        <v xml:space="preserve">  </v>
      </c>
    </row>
    <row r="36" spans="1:14" ht="13.5" thickBot="1" x14ac:dyDescent="0.25">
      <c r="A36" s="157"/>
      <c r="B36" s="158" t="s">
        <v>14</v>
      </c>
      <c r="C36" s="35"/>
      <c r="D36" s="36"/>
      <c r="E36" s="35"/>
      <c r="F36" s="37"/>
      <c r="G36" s="47"/>
      <c r="H36" s="38"/>
      <c r="I36" s="38"/>
      <c r="J36" s="38"/>
      <c r="K36" s="38"/>
      <c r="L36" s="178" t="str">
        <f t="shared" si="1"/>
        <v/>
      </c>
      <c r="M36" s="179" t="str">
        <f t="shared" ref="M36:M67" si="2">IFERROR((F36/D36)*(1+IF(G36="X", 0.75, 0) +IF(H36="X", 0.5, 0) + IF(I36="X", 0.25, 0) + IF(J36="X", 0.25, 0) + IF(K36="X", 0.25, 0)+IF(F36&gt;45, 0.125, 0)), "")</f>
        <v/>
      </c>
      <c r="N36" s="175" t="str">
        <f>_xlfn.IFNA(IF(OR(L36&gt;50, OR(OR(VLOOKUP(D36,'Selection Lists'!$A$4:$B$17, 2, FALSE)&lt;3/8, VLOOKUP(D36, 'Selection Lists'!$A$4:$B$17, 2, FALSE)&gt;2)), OR(INT(F36)&lt;10, INT(F36)&gt;55)), $Q$5, ""), "") &amp; " " &amp; _xlfn.IFNA(IF(AND(VLOOKUP(D36, 'Selection Lists'!$A$4:$B$17, 2, FALSE)&lt;1.5, INT(F36)&gt;45), $Q$6, ""), "") &amp; " " &amp; _xlfn.IFNA(IF(AND(OR(G36="X",H36="X"), OR(VLOOKUP(D36, 'Selection Lists'!$A$4:$B$17, 2, FALSE)&lt;0.75, INT(F36)&gt;45)), $Q$7, ""), "")</f>
        <v xml:space="preserve">  </v>
      </c>
    </row>
    <row r="37" spans="1:14" x14ac:dyDescent="0.2">
      <c r="A37" s="153">
        <v>12</v>
      </c>
      <c r="B37" s="154" t="s">
        <v>12</v>
      </c>
      <c r="C37" s="30"/>
      <c r="D37" s="31"/>
      <c r="E37" s="32"/>
      <c r="F37" s="33"/>
      <c r="G37" s="45"/>
      <c r="H37" s="34"/>
      <c r="I37" s="34"/>
      <c r="J37" s="34"/>
      <c r="K37" s="34"/>
      <c r="L37" s="173" t="str">
        <f t="shared" si="1"/>
        <v/>
      </c>
      <c r="M37" s="174" t="str">
        <f t="shared" si="2"/>
        <v/>
      </c>
      <c r="N37" s="175" t="str">
        <f>_xlfn.IFNA(IF(OR(L37&gt;50, OR(OR(VLOOKUP(D37,'Selection Lists'!$A$4:$B$17, 2, FALSE)&lt;3/8, VLOOKUP(D37, 'Selection Lists'!$A$4:$B$17, 2, FALSE)&gt;2)), OR(INT(F37)&lt;10, INT(F37)&gt;55)), $Q$5, ""), "") &amp; " " &amp; _xlfn.IFNA(IF(AND(VLOOKUP(D37, 'Selection Lists'!$A$4:$B$17, 2, FALSE)&lt;1.5, INT(F37)&gt;45), $Q$6, ""), "") &amp; " " &amp; _xlfn.IFNA(IF(AND(OR(G37="X",H37="X"), OR(VLOOKUP(D37, 'Selection Lists'!$A$4:$B$17, 2, FALSE)&lt;0.75, INT(F37)&gt;45)), $Q$7, ""), "")</f>
        <v xml:space="preserve">  </v>
      </c>
    </row>
    <row r="38" spans="1:14" x14ac:dyDescent="0.2">
      <c r="A38" s="155"/>
      <c r="B38" s="156" t="s">
        <v>13</v>
      </c>
      <c r="C38" s="26"/>
      <c r="D38" s="27"/>
      <c r="E38" s="26"/>
      <c r="F38" s="28"/>
      <c r="G38" s="46"/>
      <c r="H38" s="29"/>
      <c r="I38" s="29"/>
      <c r="J38" s="29"/>
      <c r="K38" s="29"/>
      <c r="L38" s="176" t="str">
        <f t="shared" si="1"/>
        <v/>
      </c>
      <c r="M38" s="177" t="str">
        <f t="shared" si="2"/>
        <v/>
      </c>
      <c r="N38" s="175" t="str">
        <f>_xlfn.IFNA(IF(OR(L38&gt;50, OR(OR(VLOOKUP(D38,'Selection Lists'!$A$4:$B$17, 2, FALSE)&lt;3/8, VLOOKUP(D38, 'Selection Lists'!$A$4:$B$17, 2, FALSE)&gt;2)), OR(INT(F38)&lt;10, INT(F38)&gt;55)), $Q$5, ""), "") &amp; " " &amp; _xlfn.IFNA(IF(AND(VLOOKUP(D38, 'Selection Lists'!$A$4:$B$17, 2, FALSE)&lt;1.5, INT(F38)&gt;45), $Q$6, ""), "") &amp; " " &amp; _xlfn.IFNA(IF(AND(OR(G38="X",H38="X"), OR(VLOOKUP(D38, 'Selection Lists'!$A$4:$B$17, 2, FALSE)&lt;0.75, INT(F38)&gt;45)), $Q$7, ""), "")</f>
        <v xml:space="preserve">  </v>
      </c>
    </row>
    <row r="39" spans="1:14" ht="13.5" thickBot="1" x14ac:dyDescent="0.25">
      <c r="A39" s="157"/>
      <c r="B39" s="158" t="s">
        <v>14</v>
      </c>
      <c r="C39" s="35"/>
      <c r="D39" s="36"/>
      <c r="E39" s="35"/>
      <c r="F39" s="37"/>
      <c r="G39" s="47"/>
      <c r="H39" s="38"/>
      <c r="I39" s="38"/>
      <c r="J39" s="38"/>
      <c r="K39" s="38"/>
      <c r="L39" s="178" t="str">
        <f t="shared" si="1"/>
        <v/>
      </c>
      <c r="M39" s="179" t="str">
        <f t="shared" si="2"/>
        <v/>
      </c>
      <c r="N39" s="175" t="str">
        <f>_xlfn.IFNA(IF(OR(L39&gt;50, OR(OR(VLOOKUP(D39,'Selection Lists'!$A$4:$B$17, 2, FALSE)&lt;3/8, VLOOKUP(D39, 'Selection Lists'!$A$4:$B$17, 2, FALSE)&gt;2)), OR(INT(F39)&lt;10, INT(F39)&gt;55)), $Q$5, ""), "") &amp; " " &amp; _xlfn.IFNA(IF(AND(VLOOKUP(D39, 'Selection Lists'!$A$4:$B$17, 2, FALSE)&lt;1.5, INT(F39)&gt;45), $Q$6, ""), "") &amp; " " &amp; _xlfn.IFNA(IF(AND(OR(G39="X",H39="X"), OR(VLOOKUP(D39, 'Selection Lists'!$A$4:$B$17, 2, FALSE)&lt;0.75, INT(F39)&gt;45)), $Q$7, ""), "")</f>
        <v xml:space="preserve">  </v>
      </c>
    </row>
    <row r="40" spans="1:14" x14ac:dyDescent="0.2">
      <c r="A40" s="153">
        <v>13</v>
      </c>
      <c r="B40" s="154" t="s">
        <v>12</v>
      </c>
      <c r="C40" s="30"/>
      <c r="D40" s="31"/>
      <c r="E40" s="32"/>
      <c r="F40" s="33"/>
      <c r="G40" s="45"/>
      <c r="H40" s="34"/>
      <c r="I40" s="34"/>
      <c r="J40" s="34"/>
      <c r="K40" s="34"/>
      <c r="L40" s="173" t="str">
        <f t="shared" si="1"/>
        <v/>
      </c>
      <c r="M40" s="174" t="str">
        <f t="shared" si="2"/>
        <v/>
      </c>
      <c r="N40" s="175" t="str">
        <f>_xlfn.IFNA(IF(OR(L40&gt;50, OR(OR(VLOOKUP(D40,'Selection Lists'!$A$4:$B$17, 2, FALSE)&lt;3/8, VLOOKUP(D40, 'Selection Lists'!$A$4:$B$17, 2, FALSE)&gt;2)), OR(INT(F40)&lt;10, INT(F40)&gt;55)), $Q$5, ""), "") &amp; " " &amp; _xlfn.IFNA(IF(AND(VLOOKUP(D40, 'Selection Lists'!$A$4:$B$17, 2, FALSE)&lt;1.5, INT(F40)&gt;45), $Q$6, ""), "") &amp; " " &amp; _xlfn.IFNA(IF(AND(OR(G40="X",H40="X"), OR(VLOOKUP(D40, 'Selection Lists'!$A$4:$B$17, 2, FALSE)&lt;0.75, INT(F40)&gt;45)), $Q$7, ""), "")</f>
        <v xml:space="preserve">  </v>
      </c>
    </row>
    <row r="41" spans="1:14" x14ac:dyDescent="0.2">
      <c r="A41" s="155"/>
      <c r="B41" s="156" t="s">
        <v>13</v>
      </c>
      <c r="C41" s="26"/>
      <c r="D41" s="27"/>
      <c r="E41" s="26"/>
      <c r="F41" s="28"/>
      <c r="G41" s="46"/>
      <c r="H41" s="29"/>
      <c r="I41" s="29"/>
      <c r="J41" s="29"/>
      <c r="K41" s="29"/>
      <c r="L41" s="176" t="str">
        <f t="shared" si="1"/>
        <v/>
      </c>
      <c r="M41" s="177" t="str">
        <f t="shared" si="2"/>
        <v/>
      </c>
      <c r="N41" s="175" t="str">
        <f>_xlfn.IFNA(IF(OR(L41&gt;50, OR(OR(VLOOKUP(D41,'Selection Lists'!$A$4:$B$17, 2, FALSE)&lt;3/8, VLOOKUP(D41, 'Selection Lists'!$A$4:$B$17, 2, FALSE)&gt;2)), OR(INT(F41)&lt;10, INT(F41)&gt;55)), $Q$5, ""), "") &amp; " " &amp; _xlfn.IFNA(IF(AND(VLOOKUP(D41, 'Selection Lists'!$A$4:$B$17, 2, FALSE)&lt;1.5, INT(F41)&gt;45), $Q$6, ""), "") &amp; " " &amp; _xlfn.IFNA(IF(AND(OR(G41="X",H41="X"), OR(VLOOKUP(D41, 'Selection Lists'!$A$4:$B$17, 2, FALSE)&lt;0.75, INT(F41)&gt;45)), $Q$7, ""), "")</f>
        <v xml:space="preserve">  </v>
      </c>
    </row>
    <row r="42" spans="1:14" ht="13.5" thickBot="1" x14ac:dyDescent="0.25">
      <c r="A42" s="157"/>
      <c r="B42" s="158" t="s">
        <v>14</v>
      </c>
      <c r="C42" s="35"/>
      <c r="D42" s="36"/>
      <c r="E42" s="35"/>
      <c r="F42" s="37"/>
      <c r="G42" s="47"/>
      <c r="H42" s="38"/>
      <c r="I42" s="38"/>
      <c r="J42" s="38"/>
      <c r="K42" s="38"/>
      <c r="L42" s="178" t="str">
        <f t="shared" si="1"/>
        <v/>
      </c>
      <c r="M42" s="179" t="str">
        <f t="shared" si="2"/>
        <v/>
      </c>
      <c r="N42" s="175" t="str">
        <f>_xlfn.IFNA(IF(OR(L42&gt;50, OR(OR(VLOOKUP(D42,'Selection Lists'!$A$4:$B$17, 2, FALSE)&lt;3/8, VLOOKUP(D42, 'Selection Lists'!$A$4:$B$17, 2, FALSE)&gt;2)), OR(INT(F42)&lt;10, INT(F42)&gt;55)), $Q$5, ""), "") &amp; " " &amp; _xlfn.IFNA(IF(AND(VLOOKUP(D42, 'Selection Lists'!$A$4:$B$17, 2, FALSE)&lt;1.5, INT(F42)&gt;45), $Q$6, ""), "") &amp; " " &amp; _xlfn.IFNA(IF(AND(OR(G42="X",H42="X"), OR(VLOOKUP(D42, 'Selection Lists'!$A$4:$B$17, 2, FALSE)&lt;0.75, INT(F42)&gt;45)), $Q$7, ""), "")</f>
        <v xml:space="preserve">  </v>
      </c>
    </row>
    <row r="43" spans="1:14" x14ac:dyDescent="0.2">
      <c r="A43" s="153">
        <v>14</v>
      </c>
      <c r="B43" s="154" t="s">
        <v>12</v>
      </c>
      <c r="C43" s="30"/>
      <c r="D43" s="31"/>
      <c r="E43" s="32"/>
      <c r="F43" s="33"/>
      <c r="G43" s="45"/>
      <c r="H43" s="34"/>
      <c r="I43" s="34"/>
      <c r="J43" s="34"/>
      <c r="K43" s="34"/>
      <c r="L43" s="173" t="str">
        <f t="shared" si="1"/>
        <v/>
      </c>
      <c r="M43" s="174" t="str">
        <f t="shared" si="2"/>
        <v/>
      </c>
      <c r="N43" s="175" t="str">
        <f>_xlfn.IFNA(IF(OR(L43&gt;50, OR(OR(VLOOKUP(D43,'Selection Lists'!$A$4:$B$17, 2, FALSE)&lt;3/8, VLOOKUP(D43, 'Selection Lists'!$A$4:$B$17, 2, FALSE)&gt;2)), OR(INT(F43)&lt;10, INT(F43)&gt;55)), $Q$5, ""), "") &amp; " " &amp; _xlfn.IFNA(IF(AND(VLOOKUP(D43, 'Selection Lists'!$A$4:$B$17, 2, FALSE)&lt;1.5, INT(F43)&gt;45), $Q$6, ""), "") &amp; " " &amp; _xlfn.IFNA(IF(AND(OR(G43="X",H43="X"), OR(VLOOKUP(D43, 'Selection Lists'!$A$4:$B$17, 2, FALSE)&lt;0.75, INT(F43)&gt;45)), $Q$7, ""), "")</f>
        <v xml:space="preserve">  </v>
      </c>
    </row>
    <row r="44" spans="1:14" x14ac:dyDescent="0.2">
      <c r="A44" s="155"/>
      <c r="B44" s="156" t="s">
        <v>13</v>
      </c>
      <c r="C44" s="26"/>
      <c r="D44" s="27"/>
      <c r="E44" s="26"/>
      <c r="F44" s="28"/>
      <c r="G44" s="46"/>
      <c r="H44" s="29"/>
      <c r="I44" s="29"/>
      <c r="J44" s="29"/>
      <c r="K44" s="29"/>
      <c r="L44" s="176" t="str">
        <f t="shared" si="1"/>
        <v/>
      </c>
      <c r="M44" s="177" t="str">
        <f t="shared" si="2"/>
        <v/>
      </c>
      <c r="N44" s="175" t="str">
        <f>_xlfn.IFNA(IF(OR(L44&gt;50, OR(OR(VLOOKUP(D44,'Selection Lists'!$A$4:$B$17, 2, FALSE)&lt;3/8, VLOOKUP(D44, 'Selection Lists'!$A$4:$B$17, 2, FALSE)&gt;2)), OR(INT(F44)&lt;10, INT(F44)&gt;55)), $Q$5, ""), "") &amp; " " &amp; _xlfn.IFNA(IF(AND(VLOOKUP(D44, 'Selection Lists'!$A$4:$B$17, 2, FALSE)&lt;1.5, INT(F44)&gt;45), $Q$6, ""), "") &amp; " " &amp; _xlfn.IFNA(IF(AND(OR(G44="X",H44="X"), OR(VLOOKUP(D44, 'Selection Lists'!$A$4:$B$17, 2, FALSE)&lt;0.75, INT(F44)&gt;45)), $Q$7, ""), "")</f>
        <v xml:space="preserve">  </v>
      </c>
    </row>
    <row r="45" spans="1:14" ht="13.5" thickBot="1" x14ac:dyDescent="0.25">
      <c r="A45" s="157"/>
      <c r="B45" s="158" t="s">
        <v>14</v>
      </c>
      <c r="C45" s="35"/>
      <c r="D45" s="36"/>
      <c r="E45" s="35"/>
      <c r="F45" s="37"/>
      <c r="G45" s="47"/>
      <c r="H45" s="38"/>
      <c r="I45" s="38"/>
      <c r="J45" s="38"/>
      <c r="K45" s="38"/>
      <c r="L45" s="178" t="str">
        <f t="shared" si="1"/>
        <v/>
      </c>
      <c r="M45" s="179" t="str">
        <f t="shared" si="2"/>
        <v/>
      </c>
      <c r="N45" s="175" t="str">
        <f>_xlfn.IFNA(IF(OR(L45&gt;50, OR(OR(VLOOKUP(D45,'Selection Lists'!$A$4:$B$17, 2, FALSE)&lt;3/8, VLOOKUP(D45, 'Selection Lists'!$A$4:$B$17, 2, FALSE)&gt;2)), OR(INT(F45)&lt;10, INT(F45)&gt;55)), $Q$5, ""), "") &amp; " " &amp; _xlfn.IFNA(IF(AND(VLOOKUP(D45, 'Selection Lists'!$A$4:$B$17, 2, FALSE)&lt;1.5, INT(F45)&gt;45), $Q$6, ""), "") &amp; " " &amp; _xlfn.IFNA(IF(AND(OR(G45="X",H45="X"), OR(VLOOKUP(D45, 'Selection Lists'!$A$4:$B$17, 2, FALSE)&lt;0.75, INT(F45)&gt;45)), $Q$7, ""), "")</f>
        <v xml:space="preserve">  </v>
      </c>
    </row>
    <row r="46" spans="1:14" x14ac:dyDescent="0.2">
      <c r="A46" s="181">
        <v>15</v>
      </c>
      <c r="B46" s="154" t="s">
        <v>12</v>
      </c>
      <c r="C46" s="30"/>
      <c r="D46" s="31"/>
      <c r="E46" s="32"/>
      <c r="F46" s="33"/>
      <c r="G46" s="45"/>
      <c r="H46" s="34"/>
      <c r="I46" s="34"/>
      <c r="J46" s="34"/>
      <c r="K46" s="34"/>
      <c r="L46" s="173" t="str">
        <f t="shared" si="1"/>
        <v/>
      </c>
      <c r="M46" s="174" t="str">
        <f t="shared" si="2"/>
        <v/>
      </c>
      <c r="N46" s="175" t="str">
        <f>_xlfn.IFNA(IF(OR(L46&gt;50, OR(OR(VLOOKUP(D46,'Selection Lists'!$A$4:$B$17, 2, FALSE)&lt;3/8, VLOOKUP(D46, 'Selection Lists'!$A$4:$B$17, 2, FALSE)&gt;2)), OR(INT(F46)&lt;10, INT(F46)&gt;55)), $Q$5, ""), "") &amp; " " &amp; _xlfn.IFNA(IF(AND(VLOOKUP(D46, 'Selection Lists'!$A$4:$B$17, 2, FALSE)&lt;1.5, INT(F46)&gt;45), $Q$6, ""), "") &amp; " " &amp; _xlfn.IFNA(IF(AND(OR(G46="X",H46="X"), OR(VLOOKUP(D46, 'Selection Lists'!$A$4:$B$17, 2, FALSE)&lt;0.75, INT(F46)&gt;45)), $Q$7, ""), "")</f>
        <v xml:space="preserve">  </v>
      </c>
    </row>
    <row r="47" spans="1:14" x14ac:dyDescent="0.2">
      <c r="A47" s="182"/>
      <c r="B47" s="156" t="s">
        <v>13</v>
      </c>
      <c r="C47" s="26"/>
      <c r="D47" s="27"/>
      <c r="E47" s="26"/>
      <c r="F47" s="28"/>
      <c r="G47" s="46"/>
      <c r="H47" s="29"/>
      <c r="I47" s="29"/>
      <c r="J47" s="29"/>
      <c r="K47" s="29"/>
      <c r="L47" s="176" t="str">
        <f t="shared" si="1"/>
        <v/>
      </c>
      <c r="M47" s="177" t="str">
        <f t="shared" si="2"/>
        <v/>
      </c>
      <c r="N47" s="175" t="str">
        <f>_xlfn.IFNA(IF(OR(L47&gt;50, OR(OR(VLOOKUP(D47,'Selection Lists'!$A$4:$B$17, 2, FALSE)&lt;3/8, VLOOKUP(D47, 'Selection Lists'!$A$4:$B$17, 2, FALSE)&gt;2)), OR(INT(F47)&lt;10, INT(F47)&gt;55)), $Q$5, ""), "") &amp; " " &amp; _xlfn.IFNA(IF(AND(VLOOKUP(D47, 'Selection Lists'!$A$4:$B$17, 2, FALSE)&lt;1.5, INT(F47)&gt;45), $Q$6, ""), "") &amp; " " &amp; _xlfn.IFNA(IF(AND(OR(G47="X",H47="X"), OR(VLOOKUP(D47, 'Selection Lists'!$A$4:$B$17, 2, FALSE)&lt;0.75, INT(F47)&gt;45)), $Q$7, ""), "")</f>
        <v xml:space="preserve">  </v>
      </c>
    </row>
    <row r="48" spans="1:14" ht="13.5" thickBot="1" x14ac:dyDescent="0.25">
      <c r="A48" s="183"/>
      <c r="B48" s="158" t="s">
        <v>14</v>
      </c>
      <c r="C48" s="35"/>
      <c r="D48" s="36"/>
      <c r="E48" s="35"/>
      <c r="F48" s="37"/>
      <c r="G48" s="47"/>
      <c r="H48" s="38"/>
      <c r="I48" s="38"/>
      <c r="J48" s="38"/>
      <c r="K48" s="38"/>
      <c r="L48" s="178" t="str">
        <f t="shared" si="1"/>
        <v/>
      </c>
      <c r="M48" s="179" t="str">
        <f t="shared" si="2"/>
        <v/>
      </c>
      <c r="N48" s="175" t="str">
        <f>_xlfn.IFNA(IF(OR(L48&gt;50, OR(OR(VLOOKUP(D48,'Selection Lists'!$A$4:$B$17, 2, FALSE)&lt;3/8, VLOOKUP(D48, 'Selection Lists'!$A$4:$B$17, 2, FALSE)&gt;2)), OR(INT(F48)&lt;10, INT(F48)&gt;55)), $Q$5, ""), "") &amp; " " &amp; _xlfn.IFNA(IF(AND(VLOOKUP(D48, 'Selection Lists'!$A$4:$B$17, 2, FALSE)&lt;1.5, INT(F48)&gt;45), $Q$6, ""), "") &amp; " " &amp; _xlfn.IFNA(IF(AND(OR(G48="X",H48="X"), OR(VLOOKUP(D48, 'Selection Lists'!$A$4:$B$17, 2, FALSE)&lt;0.75, INT(F48)&gt;45)), $Q$7, ""), "")</f>
        <v xml:space="preserve">  </v>
      </c>
    </row>
    <row r="49" spans="1:14" x14ac:dyDescent="0.2">
      <c r="A49" s="181">
        <v>16</v>
      </c>
      <c r="B49" s="154" t="s">
        <v>12</v>
      </c>
      <c r="C49" s="30"/>
      <c r="D49" s="31"/>
      <c r="E49" s="32"/>
      <c r="F49" s="33"/>
      <c r="G49" s="45"/>
      <c r="H49" s="34"/>
      <c r="I49" s="34"/>
      <c r="J49" s="34"/>
      <c r="K49" s="34"/>
      <c r="L49" s="173" t="str">
        <f t="shared" si="1"/>
        <v/>
      </c>
      <c r="M49" s="174" t="str">
        <f t="shared" si="2"/>
        <v/>
      </c>
      <c r="N49" s="175" t="str">
        <f>_xlfn.IFNA(IF(OR(L49&gt;50, OR(OR(VLOOKUP(D49,'Selection Lists'!$A$4:$B$17, 2, FALSE)&lt;3/8, VLOOKUP(D49, 'Selection Lists'!$A$4:$B$17, 2, FALSE)&gt;2)), OR(INT(F49)&lt;10, INT(F49)&gt;55)), $Q$5, ""), "") &amp; " " &amp; _xlfn.IFNA(IF(AND(VLOOKUP(D49, 'Selection Lists'!$A$4:$B$17, 2, FALSE)&lt;1.5, INT(F49)&gt;45), $Q$6, ""), "") &amp; " " &amp; _xlfn.IFNA(IF(AND(OR(G49="X",H49="X"), OR(VLOOKUP(D49, 'Selection Lists'!$A$4:$B$17, 2, FALSE)&lt;0.75, INT(F49)&gt;45)), $Q$7, ""), "")</f>
        <v xml:space="preserve">  </v>
      </c>
    </row>
    <row r="50" spans="1:14" x14ac:dyDescent="0.2">
      <c r="A50" s="182"/>
      <c r="B50" s="156" t="s">
        <v>13</v>
      </c>
      <c r="C50" s="26"/>
      <c r="D50" s="27"/>
      <c r="E50" s="26"/>
      <c r="F50" s="28"/>
      <c r="G50" s="46"/>
      <c r="H50" s="29"/>
      <c r="I50" s="29"/>
      <c r="J50" s="29"/>
      <c r="K50" s="29"/>
      <c r="L50" s="176" t="str">
        <f t="shared" si="1"/>
        <v/>
      </c>
      <c r="M50" s="177" t="str">
        <f t="shared" si="2"/>
        <v/>
      </c>
      <c r="N50" s="175" t="str">
        <f>_xlfn.IFNA(IF(OR(L50&gt;50, OR(OR(VLOOKUP(D50,'Selection Lists'!$A$4:$B$17, 2, FALSE)&lt;3/8, VLOOKUP(D50, 'Selection Lists'!$A$4:$B$17, 2, FALSE)&gt;2)), OR(INT(F50)&lt;10, INT(F50)&gt;55)), $Q$5, ""), "") &amp; " " &amp; _xlfn.IFNA(IF(AND(VLOOKUP(D50, 'Selection Lists'!$A$4:$B$17, 2, FALSE)&lt;1.5, INT(F50)&gt;45), $Q$6, ""), "") &amp; " " &amp; _xlfn.IFNA(IF(AND(OR(G50="X",H50="X"), OR(VLOOKUP(D50, 'Selection Lists'!$A$4:$B$17, 2, FALSE)&lt;0.75, INT(F50)&gt;45)), $Q$7, ""), "")</f>
        <v xml:space="preserve">  </v>
      </c>
    </row>
    <row r="51" spans="1:14" ht="13.5" thickBot="1" x14ac:dyDescent="0.25">
      <c r="A51" s="183"/>
      <c r="B51" s="158" t="s">
        <v>14</v>
      </c>
      <c r="C51" s="35"/>
      <c r="D51" s="36"/>
      <c r="E51" s="35"/>
      <c r="F51" s="37"/>
      <c r="G51" s="47"/>
      <c r="H51" s="38"/>
      <c r="I51" s="38"/>
      <c r="J51" s="38"/>
      <c r="K51" s="38"/>
      <c r="L51" s="178" t="str">
        <f t="shared" si="1"/>
        <v/>
      </c>
      <c r="M51" s="179" t="str">
        <f t="shared" si="2"/>
        <v/>
      </c>
      <c r="N51" s="175" t="str">
        <f>_xlfn.IFNA(IF(OR(L51&gt;50, OR(OR(VLOOKUP(D51,'Selection Lists'!$A$4:$B$17, 2, FALSE)&lt;3/8, VLOOKUP(D51, 'Selection Lists'!$A$4:$B$17, 2, FALSE)&gt;2)), OR(INT(F51)&lt;10, INT(F51)&gt;55)), $Q$5, ""), "") &amp; " " &amp; _xlfn.IFNA(IF(AND(VLOOKUP(D51, 'Selection Lists'!$A$4:$B$17, 2, FALSE)&lt;1.5, INT(F51)&gt;45), $Q$6, ""), "") &amp; " " &amp; _xlfn.IFNA(IF(AND(OR(G51="X",H51="X"), OR(VLOOKUP(D51, 'Selection Lists'!$A$4:$B$17, 2, FALSE)&lt;0.75, INT(F51)&gt;45)), $Q$7, ""), "")</f>
        <v xml:space="preserve">  </v>
      </c>
    </row>
    <row r="52" spans="1:14" x14ac:dyDescent="0.2">
      <c r="A52" s="181">
        <v>17</v>
      </c>
      <c r="B52" s="154" t="s">
        <v>12</v>
      </c>
      <c r="C52" s="30"/>
      <c r="D52" s="31"/>
      <c r="E52" s="32"/>
      <c r="F52" s="33"/>
      <c r="G52" s="45"/>
      <c r="H52" s="34"/>
      <c r="I52" s="34"/>
      <c r="J52" s="34"/>
      <c r="K52" s="34"/>
      <c r="L52" s="173" t="str">
        <f t="shared" si="1"/>
        <v/>
      </c>
      <c r="M52" s="174" t="str">
        <f t="shared" si="2"/>
        <v/>
      </c>
      <c r="N52" s="175" t="str">
        <f>_xlfn.IFNA(IF(OR(L52&gt;50, OR(OR(VLOOKUP(D52,'Selection Lists'!$A$4:$B$17, 2, FALSE)&lt;3/8, VLOOKUP(D52, 'Selection Lists'!$A$4:$B$17, 2, FALSE)&gt;2)), OR(INT(F52)&lt;10, INT(F52)&gt;55)), $Q$5, ""), "") &amp; " " &amp; _xlfn.IFNA(IF(AND(VLOOKUP(D52, 'Selection Lists'!$A$4:$B$17, 2, FALSE)&lt;1.5, INT(F52)&gt;45), $Q$6, ""), "") &amp; " " &amp; _xlfn.IFNA(IF(AND(OR(G52="X",H52="X"), OR(VLOOKUP(D52, 'Selection Lists'!$A$4:$B$17, 2, FALSE)&lt;0.75, INT(F52)&gt;45)), $Q$7, ""), "")</f>
        <v xml:space="preserve">  </v>
      </c>
    </row>
    <row r="53" spans="1:14" x14ac:dyDescent="0.2">
      <c r="A53" s="182"/>
      <c r="B53" s="156" t="s">
        <v>13</v>
      </c>
      <c r="C53" s="26"/>
      <c r="D53" s="27"/>
      <c r="E53" s="26"/>
      <c r="F53" s="28"/>
      <c r="G53" s="46"/>
      <c r="H53" s="29"/>
      <c r="I53" s="29"/>
      <c r="J53" s="29"/>
      <c r="K53" s="29"/>
      <c r="L53" s="176" t="str">
        <f t="shared" si="1"/>
        <v/>
      </c>
      <c r="M53" s="177" t="str">
        <f t="shared" si="2"/>
        <v/>
      </c>
      <c r="N53" s="175" t="str">
        <f>_xlfn.IFNA(IF(OR(L53&gt;50, OR(OR(VLOOKUP(D53,'Selection Lists'!$A$4:$B$17, 2, FALSE)&lt;3/8, VLOOKUP(D53, 'Selection Lists'!$A$4:$B$17, 2, FALSE)&gt;2)), OR(INT(F53)&lt;10, INT(F53)&gt;55)), $Q$5, ""), "") &amp; " " &amp; _xlfn.IFNA(IF(AND(VLOOKUP(D53, 'Selection Lists'!$A$4:$B$17, 2, FALSE)&lt;1.5, INT(F53)&gt;45), $Q$6, ""), "") &amp; " " &amp; _xlfn.IFNA(IF(AND(OR(G53="X",H53="X"), OR(VLOOKUP(D53, 'Selection Lists'!$A$4:$B$17, 2, FALSE)&lt;0.75, INT(F53)&gt;45)), $Q$7, ""), "")</f>
        <v xml:space="preserve">  </v>
      </c>
    </row>
    <row r="54" spans="1:14" ht="13.5" thickBot="1" x14ac:dyDescent="0.25">
      <c r="A54" s="183"/>
      <c r="B54" s="158" t="s">
        <v>14</v>
      </c>
      <c r="C54" s="35"/>
      <c r="D54" s="36"/>
      <c r="E54" s="35"/>
      <c r="F54" s="37"/>
      <c r="G54" s="47"/>
      <c r="H54" s="38"/>
      <c r="I54" s="38"/>
      <c r="J54" s="38"/>
      <c r="K54" s="38"/>
      <c r="L54" s="178" t="str">
        <f t="shared" si="1"/>
        <v/>
      </c>
      <c r="M54" s="179" t="str">
        <f t="shared" si="2"/>
        <v/>
      </c>
      <c r="N54" s="175" t="str">
        <f>_xlfn.IFNA(IF(OR(L54&gt;50, OR(OR(VLOOKUP(D54,'Selection Lists'!$A$4:$B$17, 2, FALSE)&lt;3/8, VLOOKUP(D54, 'Selection Lists'!$A$4:$B$17, 2, FALSE)&gt;2)), OR(INT(F54)&lt;10, INT(F54)&gt;55)), $Q$5, ""), "") &amp; " " &amp; _xlfn.IFNA(IF(AND(VLOOKUP(D54, 'Selection Lists'!$A$4:$B$17, 2, FALSE)&lt;1.5, INT(F54)&gt;45), $Q$6, ""), "") &amp; " " &amp; _xlfn.IFNA(IF(AND(OR(G54="X",H54="X"), OR(VLOOKUP(D54, 'Selection Lists'!$A$4:$B$17, 2, FALSE)&lt;0.75, INT(F54)&gt;45)), $Q$7, ""), "")</f>
        <v xml:space="preserve">  </v>
      </c>
    </row>
    <row r="55" spans="1:14" x14ac:dyDescent="0.2">
      <c r="A55" s="181">
        <v>18</v>
      </c>
      <c r="B55" s="154" t="s">
        <v>12</v>
      </c>
      <c r="C55" s="30"/>
      <c r="D55" s="31"/>
      <c r="E55" s="32"/>
      <c r="F55" s="33"/>
      <c r="G55" s="45"/>
      <c r="H55" s="34"/>
      <c r="I55" s="34"/>
      <c r="J55" s="34"/>
      <c r="K55" s="34"/>
      <c r="L55" s="173" t="str">
        <f t="shared" si="1"/>
        <v/>
      </c>
      <c r="M55" s="174" t="str">
        <f t="shared" si="2"/>
        <v/>
      </c>
      <c r="N55" s="175" t="str">
        <f>_xlfn.IFNA(IF(OR(L55&gt;50, OR(OR(VLOOKUP(D55,'Selection Lists'!$A$4:$B$17, 2, FALSE)&lt;3/8, VLOOKUP(D55, 'Selection Lists'!$A$4:$B$17, 2, FALSE)&gt;2)), OR(INT(F55)&lt;10, INT(F55)&gt;55)), $Q$5, ""), "") &amp; " " &amp; _xlfn.IFNA(IF(AND(VLOOKUP(D55, 'Selection Lists'!$A$4:$B$17, 2, FALSE)&lt;1.5, INT(F55)&gt;45), $Q$6, ""), "") &amp; " " &amp; _xlfn.IFNA(IF(AND(OR(G55="X",H55="X"), OR(VLOOKUP(D55, 'Selection Lists'!$A$4:$B$17, 2, FALSE)&lt;0.75, INT(F55)&gt;45)), $Q$7, ""), "")</f>
        <v xml:space="preserve">  </v>
      </c>
    </row>
    <row r="56" spans="1:14" x14ac:dyDescent="0.2">
      <c r="A56" s="182"/>
      <c r="B56" s="156" t="s">
        <v>13</v>
      </c>
      <c r="C56" s="26"/>
      <c r="D56" s="27"/>
      <c r="E56" s="26"/>
      <c r="F56" s="28"/>
      <c r="G56" s="46"/>
      <c r="H56" s="29"/>
      <c r="I56" s="29"/>
      <c r="J56" s="29"/>
      <c r="K56" s="29"/>
      <c r="L56" s="176" t="str">
        <f t="shared" si="1"/>
        <v/>
      </c>
      <c r="M56" s="177" t="str">
        <f t="shared" si="2"/>
        <v/>
      </c>
      <c r="N56" s="175" t="str">
        <f>_xlfn.IFNA(IF(OR(L56&gt;50, OR(OR(VLOOKUP(D56,'Selection Lists'!$A$4:$B$17, 2, FALSE)&lt;3/8, VLOOKUP(D56, 'Selection Lists'!$A$4:$B$17, 2, FALSE)&gt;2)), OR(INT(F56)&lt;10, INT(F56)&gt;55)), $Q$5, ""), "") &amp; " " &amp; _xlfn.IFNA(IF(AND(VLOOKUP(D56, 'Selection Lists'!$A$4:$B$17, 2, FALSE)&lt;1.5, INT(F56)&gt;45), $Q$6, ""), "") &amp; " " &amp; _xlfn.IFNA(IF(AND(OR(G56="X",H56="X"), OR(VLOOKUP(D56, 'Selection Lists'!$A$4:$B$17, 2, FALSE)&lt;0.75, INT(F56)&gt;45)), $Q$7, ""), "")</f>
        <v xml:space="preserve">  </v>
      </c>
    </row>
    <row r="57" spans="1:14" ht="13.5" thickBot="1" x14ac:dyDescent="0.25">
      <c r="A57" s="183"/>
      <c r="B57" s="158" t="s">
        <v>14</v>
      </c>
      <c r="C57" s="35"/>
      <c r="D57" s="36"/>
      <c r="E57" s="35"/>
      <c r="F57" s="37"/>
      <c r="G57" s="47"/>
      <c r="H57" s="38"/>
      <c r="I57" s="38"/>
      <c r="J57" s="38"/>
      <c r="K57" s="38"/>
      <c r="L57" s="178" t="str">
        <f t="shared" si="1"/>
        <v/>
      </c>
      <c r="M57" s="179" t="str">
        <f t="shared" si="2"/>
        <v/>
      </c>
      <c r="N57" s="175" t="str">
        <f>_xlfn.IFNA(IF(OR(L57&gt;50, OR(OR(VLOOKUP(D57,'Selection Lists'!$A$4:$B$17, 2, FALSE)&lt;3/8, VLOOKUP(D57, 'Selection Lists'!$A$4:$B$17, 2, FALSE)&gt;2)), OR(INT(F57)&lt;10, INT(F57)&gt;55)), $Q$5, ""), "") &amp; " " &amp; _xlfn.IFNA(IF(AND(VLOOKUP(D57, 'Selection Lists'!$A$4:$B$17, 2, FALSE)&lt;1.5, INT(F57)&gt;45), $Q$6, ""), "") &amp; " " &amp; _xlfn.IFNA(IF(AND(OR(G57="X",H57="X"), OR(VLOOKUP(D57, 'Selection Lists'!$A$4:$B$17, 2, FALSE)&lt;0.75, INT(F57)&gt;45)), $Q$7, ""), "")</f>
        <v xml:space="preserve">  </v>
      </c>
    </row>
    <row r="58" spans="1:14" x14ac:dyDescent="0.2">
      <c r="A58" s="181">
        <v>19</v>
      </c>
      <c r="B58" s="154" t="s">
        <v>12</v>
      </c>
      <c r="C58" s="30"/>
      <c r="D58" s="31"/>
      <c r="E58" s="32"/>
      <c r="F58" s="33"/>
      <c r="G58" s="45"/>
      <c r="H58" s="34"/>
      <c r="I58" s="34"/>
      <c r="J58" s="34"/>
      <c r="K58" s="34"/>
      <c r="L58" s="173" t="str">
        <f t="shared" si="1"/>
        <v/>
      </c>
      <c r="M58" s="174" t="str">
        <f t="shared" si="2"/>
        <v/>
      </c>
      <c r="N58" s="175" t="str">
        <f>_xlfn.IFNA(IF(OR(L58&gt;50, OR(OR(VLOOKUP(D58,'Selection Lists'!$A$4:$B$17, 2, FALSE)&lt;3/8, VLOOKUP(D58, 'Selection Lists'!$A$4:$B$17, 2, FALSE)&gt;2)), OR(INT(F58)&lt;10, INT(F58)&gt;55)), $Q$5, ""), "") &amp; " " &amp; _xlfn.IFNA(IF(AND(VLOOKUP(D58, 'Selection Lists'!$A$4:$B$17, 2, FALSE)&lt;1.5, INT(F58)&gt;45), $Q$6, ""), "") &amp; " " &amp; _xlfn.IFNA(IF(AND(OR(G58="X",H58="X"), OR(VLOOKUP(D58, 'Selection Lists'!$A$4:$B$17, 2, FALSE)&lt;0.75, INT(F58)&gt;45)), $Q$7, ""), "")</f>
        <v xml:space="preserve">  </v>
      </c>
    </row>
    <row r="59" spans="1:14" x14ac:dyDescent="0.2">
      <c r="A59" s="182"/>
      <c r="B59" s="156" t="s">
        <v>13</v>
      </c>
      <c r="C59" s="26"/>
      <c r="D59" s="27"/>
      <c r="E59" s="26"/>
      <c r="F59" s="28"/>
      <c r="G59" s="46"/>
      <c r="H59" s="29"/>
      <c r="I59" s="29"/>
      <c r="J59" s="29"/>
      <c r="K59" s="29"/>
      <c r="L59" s="176" t="str">
        <f t="shared" si="1"/>
        <v/>
      </c>
      <c r="M59" s="177" t="str">
        <f t="shared" si="2"/>
        <v/>
      </c>
      <c r="N59" s="175" t="str">
        <f>_xlfn.IFNA(IF(OR(L59&gt;50, OR(OR(VLOOKUP(D59,'Selection Lists'!$A$4:$B$17, 2, FALSE)&lt;3/8, VLOOKUP(D59, 'Selection Lists'!$A$4:$B$17, 2, FALSE)&gt;2)), OR(INT(F59)&lt;10, INT(F59)&gt;55)), $Q$5, ""), "") &amp; " " &amp; _xlfn.IFNA(IF(AND(VLOOKUP(D59, 'Selection Lists'!$A$4:$B$17, 2, FALSE)&lt;1.5, INT(F59)&gt;45), $Q$6, ""), "") &amp; " " &amp; _xlfn.IFNA(IF(AND(OR(G59="X",H59="X"), OR(VLOOKUP(D59, 'Selection Lists'!$A$4:$B$17, 2, FALSE)&lt;0.75, INT(F59)&gt;45)), $Q$7, ""), "")</f>
        <v xml:space="preserve">  </v>
      </c>
    </row>
    <row r="60" spans="1:14" ht="13.5" thickBot="1" x14ac:dyDescent="0.25">
      <c r="A60" s="183"/>
      <c r="B60" s="158" t="s">
        <v>14</v>
      </c>
      <c r="C60" s="35"/>
      <c r="D60" s="36"/>
      <c r="E60" s="35"/>
      <c r="F60" s="37"/>
      <c r="G60" s="47"/>
      <c r="H60" s="38"/>
      <c r="I60" s="38"/>
      <c r="J60" s="38"/>
      <c r="K60" s="38"/>
      <c r="L60" s="178" t="str">
        <f t="shared" si="1"/>
        <v/>
      </c>
      <c r="M60" s="179" t="str">
        <f t="shared" si="2"/>
        <v/>
      </c>
      <c r="N60" s="175" t="str">
        <f>_xlfn.IFNA(IF(OR(L60&gt;50, OR(OR(VLOOKUP(D60,'Selection Lists'!$A$4:$B$17, 2, FALSE)&lt;3/8, VLOOKUP(D60, 'Selection Lists'!$A$4:$B$17, 2, FALSE)&gt;2)), OR(INT(F60)&lt;10, INT(F60)&gt;55)), $Q$5, ""), "") &amp; " " &amp; _xlfn.IFNA(IF(AND(VLOOKUP(D60, 'Selection Lists'!$A$4:$B$17, 2, FALSE)&lt;1.5, INT(F60)&gt;45), $Q$6, ""), "") &amp; " " &amp; _xlfn.IFNA(IF(AND(OR(G60="X",H60="X"), OR(VLOOKUP(D60, 'Selection Lists'!$A$4:$B$17, 2, FALSE)&lt;0.75, INT(F60)&gt;45)), $Q$7, ""), "")</f>
        <v xml:space="preserve">  </v>
      </c>
    </row>
    <row r="61" spans="1:14" x14ac:dyDescent="0.2">
      <c r="A61" s="181">
        <v>20</v>
      </c>
      <c r="B61" s="154" t="s">
        <v>12</v>
      </c>
      <c r="C61" s="30"/>
      <c r="D61" s="31"/>
      <c r="E61" s="32"/>
      <c r="F61" s="33"/>
      <c r="G61" s="45"/>
      <c r="H61" s="34"/>
      <c r="I61" s="34"/>
      <c r="J61" s="34"/>
      <c r="K61" s="34"/>
      <c r="L61" s="173" t="str">
        <f t="shared" si="1"/>
        <v/>
      </c>
      <c r="M61" s="174" t="str">
        <f t="shared" si="2"/>
        <v/>
      </c>
      <c r="N61" s="175" t="str">
        <f>_xlfn.IFNA(IF(OR(L61&gt;50, OR(OR(VLOOKUP(D61,'Selection Lists'!$A$4:$B$17, 2, FALSE)&lt;3/8, VLOOKUP(D61, 'Selection Lists'!$A$4:$B$17, 2, FALSE)&gt;2)), OR(INT(F61)&lt;10, INT(F61)&gt;55)), $Q$5, ""), "") &amp; " " &amp; _xlfn.IFNA(IF(AND(VLOOKUP(D61, 'Selection Lists'!$A$4:$B$17, 2, FALSE)&lt;1.5, INT(F61)&gt;45), $Q$6, ""), "") &amp; " " &amp; _xlfn.IFNA(IF(AND(OR(G61="X",H61="X"), OR(VLOOKUP(D61, 'Selection Lists'!$A$4:$B$17, 2, FALSE)&lt;0.75, INT(F61)&gt;45)), $Q$7, ""), "")</f>
        <v xml:space="preserve">  </v>
      </c>
    </row>
    <row r="62" spans="1:14" x14ac:dyDescent="0.2">
      <c r="A62" s="182"/>
      <c r="B62" s="156" t="s">
        <v>13</v>
      </c>
      <c r="C62" s="26"/>
      <c r="D62" s="27"/>
      <c r="E62" s="26"/>
      <c r="F62" s="28"/>
      <c r="G62" s="46"/>
      <c r="H62" s="29"/>
      <c r="I62" s="29"/>
      <c r="J62" s="29"/>
      <c r="K62" s="29"/>
      <c r="L62" s="176" t="str">
        <f t="shared" si="1"/>
        <v/>
      </c>
      <c r="M62" s="177" t="str">
        <f t="shared" si="2"/>
        <v/>
      </c>
      <c r="N62" s="175" t="str">
        <f>_xlfn.IFNA(IF(OR(L62&gt;50, OR(OR(VLOOKUP(D62,'Selection Lists'!$A$4:$B$17, 2, FALSE)&lt;3/8, VLOOKUP(D62, 'Selection Lists'!$A$4:$B$17, 2, FALSE)&gt;2)), OR(INT(F62)&lt;10, INT(F62)&gt;55)), $Q$5, ""), "") &amp; " " &amp; _xlfn.IFNA(IF(AND(VLOOKUP(D62, 'Selection Lists'!$A$4:$B$17, 2, FALSE)&lt;1.5, INT(F62)&gt;45), $Q$6, ""), "") &amp; " " &amp; _xlfn.IFNA(IF(AND(OR(G62="X",H62="X"), OR(VLOOKUP(D62, 'Selection Lists'!$A$4:$B$17, 2, FALSE)&lt;0.75, INT(F62)&gt;45)), $Q$7, ""), "")</f>
        <v xml:space="preserve">  </v>
      </c>
    </row>
    <row r="63" spans="1:14" ht="13.5" thickBot="1" x14ac:dyDescent="0.25">
      <c r="A63" s="183"/>
      <c r="B63" s="158" t="s">
        <v>14</v>
      </c>
      <c r="C63" s="35"/>
      <c r="D63" s="36"/>
      <c r="E63" s="35"/>
      <c r="F63" s="37"/>
      <c r="G63" s="47"/>
      <c r="H63" s="38"/>
      <c r="I63" s="38"/>
      <c r="J63" s="38"/>
      <c r="K63" s="38"/>
      <c r="L63" s="178" t="str">
        <f t="shared" si="1"/>
        <v/>
      </c>
      <c r="M63" s="179" t="str">
        <f t="shared" si="2"/>
        <v/>
      </c>
      <c r="N63" s="175" t="str">
        <f>_xlfn.IFNA(IF(OR(L63&gt;50, OR(OR(VLOOKUP(D63,'Selection Lists'!$A$4:$B$17, 2, FALSE)&lt;3/8, VLOOKUP(D63, 'Selection Lists'!$A$4:$B$17, 2, FALSE)&gt;2)), OR(INT(F63)&lt;10, INT(F63)&gt;55)), $Q$5, ""), "") &amp; " " &amp; _xlfn.IFNA(IF(AND(VLOOKUP(D63, 'Selection Lists'!$A$4:$B$17, 2, FALSE)&lt;1.5, INT(F63)&gt;45), $Q$6, ""), "") &amp; " " &amp; _xlfn.IFNA(IF(AND(OR(G63="X",H63="X"), OR(VLOOKUP(D63, 'Selection Lists'!$A$4:$B$17, 2, FALSE)&lt;0.75, INT(F63)&gt;45)), $Q$7, ""), "")</f>
        <v xml:space="preserve">  </v>
      </c>
    </row>
    <row r="64" spans="1:14" x14ac:dyDescent="0.2">
      <c r="A64" s="181">
        <v>21</v>
      </c>
      <c r="B64" s="154" t="s">
        <v>12</v>
      </c>
      <c r="C64" s="30"/>
      <c r="D64" s="31"/>
      <c r="E64" s="32"/>
      <c r="F64" s="33"/>
      <c r="G64" s="45"/>
      <c r="H64" s="34"/>
      <c r="I64" s="34"/>
      <c r="J64" s="34"/>
      <c r="K64" s="34"/>
      <c r="L64" s="173" t="str">
        <f t="shared" si="1"/>
        <v/>
      </c>
      <c r="M64" s="174" t="str">
        <f t="shared" si="2"/>
        <v/>
      </c>
      <c r="N64" s="175" t="str">
        <f>_xlfn.IFNA(IF(OR(L64&gt;50, OR(OR(VLOOKUP(D64,'Selection Lists'!$A$4:$B$17, 2, FALSE)&lt;3/8, VLOOKUP(D64, 'Selection Lists'!$A$4:$B$17, 2, FALSE)&gt;2)), OR(INT(F64)&lt;10, INT(F64)&gt;55)), $Q$5, ""), "") &amp; " " &amp; _xlfn.IFNA(IF(AND(VLOOKUP(D64, 'Selection Lists'!$A$4:$B$17, 2, FALSE)&lt;1.5, INT(F64)&gt;45), $Q$6, ""), "") &amp; " " &amp; _xlfn.IFNA(IF(AND(OR(G64="X",H64="X"), OR(VLOOKUP(D64, 'Selection Lists'!$A$4:$B$17, 2, FALSE)&lt;0.75, INT(F64)&gt;45)), $Q$7, ""), "")</f>
        <v xml:space="preserve">  </v>
      </c>
    </row>
    <row r="65" spans="1:14" x14ac:dyDescent="0.2">
      <c r="A65" s="182"/>
      <c r="B65" s="156" t="s">
        <v>13</v>
      </c>
      <c r="C65" s="26"/>
      <c r="D65" s="27"/>
      <c r="E65" s="26"/>
      <c r="F65" s="28"/>
      <c r="G65" s="46"/>
      <c r="H65" s="29"/>
      <c r="I65" s="29"/>
      <c r="J65" s="29"/>
      <c r="K65" s="29"/>
      <c r="L65" s="176" t="str">
        <f t="shared" si="1"/>
        <v/>
      </c>
      <c r="M65" s="177" t="str">
        <f t="shared" si="2"/>
        <v/>
      </c>
      <c r="N65" s="175" t="str">
        <f>_xlfn.IFNA(IF(OR(L65&gt;50, OR(OR(VLOOKUP(D65,'Selection Lists'!$A$4:$B$17, 2, FALSE)&lt;3/8, VLOOKUP(D65, 'Selection Lists'!$A$4:$B$17, 2, FALSE)&gt;2)), OR(INT(F65)&lt;10, INT(F65)&gt;55)), $Q$5, ""), "") &amp; " " &amp; _xlfn.IFNA(IF(AND(VLOOKUP(D65, 'Selection Lists'!$A$4:$B$17, 2, FALSE)&lt;1.5, INT(F65)&gt;45), $Q$6, ""), "") &amp; " " &amp; _xlfn.IFNA(IF(AND(OR(G65="X",H65="X"), OR(VLOOKUP(D65, 'Selection Lists'!$A$4:$B$17, 2, FALSE)&lt;0.75, INT(F65)&gt;45)), $Q$7, ""), "")</f>
        <v xml:space="preserve">  </v>
      </c>
    </row>
    <row r="66" spans="1:14" ht="13.5" thickBot="1" x14ac:dyDescent="0.25">
      <c r="A66" s="183"/>
      <c r="B66" s="158" t="s">
        <v>14</v>
      </c>
      <c r="C66" s="35"/>
      <c r="D66" s="36"/>
      <c r="E66" s="35"/>
      <c r="F66" s="37"/>
      <c r="G66" s="47"/>
      <c r="H66" s="38"/>
      <c r="I66" s="38"/>
      <c r="J66" s="38"/>
      <c r="K66" s="38"/>
      <c r="L66" s="178" t="str">
        <f t="shared" si="1"/>
        <v/>
      </c>
      <c r="M66" s="179" t="str">
        <f t="shared" si="2"/>
        <v/>
      </c>
      <c r="N66" s="175" t="str">
        <f>_xlfn.IFNA(IF(OR(L66&gt;50, OR(OR(VLOOKUP(D66,'Selection Lists'!$A$4:$B$17, 2, FALSE)&lt;3/8, VLOOKUP(D66, 'Selection Lists'!$A$4:$B$17, 2, FALSE)&gt;2)), OR(INT(F66)&lt;10, INT(F66)&gt;55)), $Q$5, ""), "") &amp; " " &amp; _xlfn.IFNA(IF(AND(VLOOKUP(D66, 'Selection Lists'!$A$4:$B$17, 2, FALSE)&lt;1.5, INT(F66)&gt;45), $Q$6, ""), "") &amp; " " &amp; _xlfn.IFNA(IF(AND(OR(G66="X",H66="X"), OR(VLOOKUP(D66, 'Selection Lists'!$A$4:$B$17, 2, FALSE)&lt;0.75, INT(F66)&gt;45)), $Q$7, ""), "")</f>
        <v xml:space="preserve">  </v>
      </c>
    </row>
    <row r="67" spans="1:14" x14ac:dyDescent="0.2">
      <c r="A67" s="181">
        <v>22</v>
      </c>
      <c r="B67" s="154" t="s">
        <v>12</v>
      </c>
      <c r="C67" s="30"/>
      <c r="D67" s="31"/>
      <c r="E67" s="32"/>
      <c r="F67" s="33"/>
      <c r="G67" s="45"/>
      <c r="H67" s="34"/>
      <c r="I67" s="34"/>
      <c r="J67" s="34"/>
      <c r="K67" s="34"/>
      <c r="L67" s="173" t="str">
        <f t="shared" si="1"/>
        <v/>
      </c>
      <c r="M67" s="174" t="str">
        <f t="shared" si="2"/>
        <v/>
      </c>
      <c r="N67" s="175" t="str">
        <f>_xlfn.IFNA(IF(OR(L67&gt;50, OR(OR(VLOOKUP(D67,'Selection Lists'!$A$4:$B$17, 2, FALSE)&lt;3/8, VLOOKUP(D67, 'Selection Lists'!$A$4:$B$17, 2, FALSE)&gt;2)), OR(INT(F67)&lt;10, INT(F67)&gt;55)), $Q$5, ""), "") &amp; " " &amp; _xlfn.IFNA(IF(AND(VLOOKUP(D67, 'Selection Lists'!$A$4:$B$17, 2, FALSE)&lt;1.5, INT(F67)&gt;45), $Q$6, ""), "") &amp; " " &amp; _xlfn.IFNA(IF(AND(OR(G67="X",H67="X"), OR(VLOOKUP(D67, 'Selection Lists'!$A$4:$B$17, 2, FALSE)&lt;0.75, INT(F67)&gt;45)), $Q$7, ""), "")</f>
        <v xml:space="preserve">  </v>
      </c>
    </row>
    <row r="68" spans="1:14" x14ac:dyDescent="0.2">
      <c r="A68" s="182"/>
      <c r="B68" s="156" t="s">
        <v>13</v>
      </c>
      <c r="C68" s="26"/>
      <c r="D68" s="27"/>
      <c r="E68" s="26"/>
      <c r="F68" s="28"/>
      <c r="G68" s="46"/>
      <c r="H68" s="29"/>
      <c r="I68" s="29"/>
      <c r="J68" s="29"/>
      <c r="K68" s="29"/>
      <c r="L68" s="176" t="str">
        <f t="shared" si="1"/>
        <v/>
      </c>
      <c r="M68" s="177" t="str">
        <f t="shared" ref="M68:M93" si="3">IFERROR((F68/D68)*(1+IF(G68="X", 0.75, 0) +IF(H68="X", 0.5, 0) + IF(I68="X", 0.25, 0) + IF(J68="X", 0.25, 0) + IF(K68="X", 0.25, 0)+IF(F68&gt;45, 0.125, 0)), "")</f>
        <v/>
      </c>
      <c r="N68" s="175" t="str">
        <f>_xlfn.IFNA(IF(OR(L68&gt;50, OR(OR(VLOOKUP(D68,'Selection Lists'!$A$4:$B$17, 2, FALSE)&lt;3/8, VLOOKUP(D68, 'Selection Lists'!$A$4:$B$17, 2, FALSE)&gt;2)), OR(INT(F68)&lt;10, INT(F68)&gt;55)), $Q$5, ""), "") &amp; " " &amp; _xlfn.IFNA(IF(AND(VLOOKUP(D68, 'Selection Lists'!$A$4:$B$17, 2, FALSE)&lt;1.5, INT(F68)&gt;45), $Q$6, ""), "") &amp; " " &amp; _xlfn.IFNA(IF(AND(OR(G68="X",H68="X"), OR(VLOOKUP(D68, 'Selection Lists'!$A$4:$B$17, 2, FALSE)&lt;0.75, INT(F68)&gt;45)), $Q$7, ""), "")</f>
        <v xml:space="preserve">  </v>
      </c>
    </row>
    <row r="69" spans="1:14" ht="13.5" thickBot="1" x14ac:dyDescent="0.25">
      <c r="A69" s="183"/>
      <c r="B69" s="158" t="s">
        <v>14</v>
      </c>
      <c r="C69" s="35"/>
      <c r="D69" s="36"/>
      <c r="E69" s="35"/>
      <c r="F69" s="37"/>
      <c r="G69" s="47"/>
      <c r="H69" s="38"/>
      <c r="I69" s="38"/>
      <c r="J69" s="38"/>
      <c r="K69" s="38"/>
      <c r="L69" s="178" t="str">
        <f t="shared" ref="L69:L93" si="4">IFERROR((F69/D69)*(1+IF(G69="X", 0.75, 0) +IF(H69="X", 0.5, 0) + IF(I69="X", 0.25, 0) +IF(F69&gt;45, 0.125, 0)), "")</f>
        <v/>
      </c>
      <c r="M69" s="179" t="str">
        <f t="shared" si="3"/>
        <v/>
      </c>
      <c r="N69" s="175" t="str">
        <f>_xlfn.IFNA(IF(OR(L69&gt;50, OR(OR(VLOOKUP(D69,'Selection Lists'!$A$4:$B$17, 2, FALSE)&lt;3/8, VLOOKUP(D69, 'Selection Lists'!$A$4:$B$17, 2, FALSE)&gt;2)), OR(INT(F69)&lt;10, INT(F69)&gt;55)), $Q$5, ""), "") &amp; " " &amp; _xlfn.IFNA(IF(AND(VLOOKUP(D69, 'Selection Lists'!$A$4:$B$17, 2, FALSE)&lt;1.5, INT(F69)&gt;45), $Q$6, ""), "") &amp; " " &amp; _xlfn.IFNA(IF(AND(OR(G69="X",H69="X"), OR(VLOOKUP(D69, 'Selection Lists'!$A$4:$B$17, 2, FALSE)&lt;0.75, INT(F69)&gt;45)), $Q$7, ""), "")</f>
        <v xml:space="preserve">  </v>
      </c>
    </row>
    <row r="70" spans="1:14" x14ac:dyDescent="0.2">
      <c r="A70" s="181">
        <v>23</v>
      </c>
      <c r="B70" s="154" t="s">
        <v>12</v>
      </c>
      <c r="C70" s="30"/>
      <c r="D70" s="31"/>
      <c r="E70" s="32"/>
      <c r="F70" s="33"/>
      <c r="G70" s="45"/>
      <c r="H70" s="34"/>
      <c r="I70" s="34"/>
      <c r="J70" s="34"/>
      <c r="K70" s="34"/>
      <c r="L70" s="173" t="str">
        <f t="shared" si="4"/>
        <v/>
      </c>
      <c r="M70" s="174" t="str">
        <f t="shared" si="3"/>
        <v/>
      </c>
      <c r="N70" s="175" t="str">
        <f>_xlfn.IFNA(IF(OR(L70&gt;50, OR(OR(VLOOKUP(D70,'Selection Lists'!$A$4:$B$17, 2, FALSE)&lt;3/8, VLOOKUP(D70, 'Selection Lists'!$A$4:$B$17, 2, FALSE)&gt;2)), OR(INT(F70)&lt;10, INT(F70)&gt;55)), $Q$5, ""), "") &amp; " " &amp; _xlfn.IFNA(IF(AND(VLOOKUP(D70, 'Selection Lists'!$A$4:$B$17, 2, FALSE)&lt;1.5, INT(F70)&gt;45), $Q$6, ""), "") &amp; " " &amp; _xlfn.IFNA(IF(AND(OR(G70="X",H70="X"), OR(VLOOKUP(D70, 'Selection Lists'!$A$4:$B$17, 2, FALSE)&lt;0.75, INT(F70)&gt;45)), $Q$7, ""), "")</f>
        <v xml:space="preserve">  </v>
      </c>
    </row>
    <row r="71" spans="1:14" x14ac:dyDescent="0.2">
      <c r="A71" s="182"/>
      <c r="B71" s="156" t="s">
        <v>13</v>
      </c>
      <c r="C71" s="26"/>
      <c r="D71" s="27"/>
      <c r="E71" s="26"/>
      <c r="F71" s="28"/>
      <c r="G71" s="46"/>
      <c r="H71" s="29"/>
      <c r="I71" s="29"/>
      <c r="J71" s="29"/>
      <c r="K71" s="29"/>
      <c r="L71" s="176" t="str">
        <f t="shared" si="4"/>
        <v/>
      </c>
      <c r="M71" s="177" t="str">
        <f t="shared" si="3"/>
        <v/>
      </c>
      <c r="N71" s="175" t="str">
        <f>_xlfn.IFNA(IF(OR(L71&gt;50, OR(OR(VLOOKUP(D71,'Selection Lists'!$A$4:$B$17, 2, FALSE)&lt;3/8, VLOOKUP(D71, 'Selection Lists'!$A$4:$B$17, 2, FALSE)&gt;2)), OR(INT(F71)&lt;10, INT(F71)&gt;55)), $Q$5, ""), "") &amp; " " &amp; _xlfn.IFNA(IF(AND(VLOOKUP(D71, 'Selection Lists'!$A$4:$B$17, 2, FALSE)&lt;1.5, INT(F71)&gt;45), $Q$6, ""), "") &amp; " " &amp; _xlfn.IFNA(IF(AND(OR(G71="X",H71="X"), OR(VLOOKUP(D71, 'Selection Lists'!$A$4:$B$17, 2, FALSE)&lt;0.75, INT(F71)&gt;45)), $Q$7, ""), "")</f>
        <v xml:space="preserve">  </v>
      </c>
    </row>
    <row r="72" spans="1:14" ht="13.5" thickBot="1" x14ac:dyDescent="0.25">
      <c r="A72" s="183"/>
      <c r="B72" s="158" t="s">
        <v>14</v>
      </c>
      <c r="C72" s="35"/>
      <c r="D72" s="36"/>
      <c r="E72" s="35"/>
      <c r="F72" s="37"/>
      <c r="G72" s="47"/>
      <c r="H72" s="38"/>
      <c r="I72" s="38"/>
      <c r="J72" s="38"/>
      <c r="K72" s="38"/>
      <c r="L72" s="178" t="str">
        <f t="shared" si="4"/>
        <v/>
      </c>
      <c r="M72" s="179" t="str">
        <f t="shared" si="3"/>
        <v/>
      </c>
      <c r="N72" s="175" t="str">
        <f>_xlfn.IFNA(IF(OR(L72&gt;50, OR(OR(VLOOKUP(D72,'Selection Lists'!$A$4:$B$17, 2, FALSE)&lt;3/8, VLOOKUP(D72, 'Selection Lists'!$A$4:$B$17, 2, FALSE)&gt;2)), OR(INT(F72)&lt;10, INT(F72)&gt;55)), $Q$5, ""), "") &amp; " " &amp; _xlfn.IFNA(IF(AND(VLOOKUP(D72, 'Selection Lists'!$A$4:$B$17, 2, FALSE)&lt;1.5, INT(F72)&gt;45), $Q$6, ""), "") &amp; " " &amp; _xlfn.IFNA(IF(AND(OR(G72="X",H72="X"), OR(VLOOKUP(D72, 'Selection Lists'!$A$4:$B$17, 2, FALSE)&lt;0.75, INT(F72)&gt;45)), $Q$7, ""), "")</f>
        <v xml:space="preserve">  </v>
      </c>
    </row>
    <row r="73" spans="1:14" x14ac:dyDescent="0.2">
      <c r="A73" s="181">
        <v>24</v>
      </c>
      <c r="B73" s="154" t="s">
        <v>12</v>
      </c>
      <c r="C73" s="30"/>
      <c r="D73" s="31"/>
      <c r="E73" s="32"/>
      <c r="F73" s="33"/>
      <c r="G73" s="45"/>
      <c r="H73" s="34"/>
      <c r="I73" s="34"/>
      <c r="J73" s="34"/>
      <c r="K73" s="34"/>
      <c r="L73" s="173" t="str">
        <f t="shared" si="4"/>
        <v/>
      </c>
      <c r="M73" s="174" t="str">
        <f t="shared" si="3"/>
        <v/>
      </c>
      <c r="N73" s="175" t="str">
        <f>_xlfn.IFNA(IF(OR(L73&gt;50, OR(OR(VLOOKUP(D73,'Selection Lists'!$A$4:$B$17, 2, FALSE)&lt;3/8, VLOOKUP(D73, 'Selection Lists'!$A$4:$B$17, 2, FALSE)&gt;2)), OR(INT(F73)&lt;10, INT(F73)&gt;55)), $Q$5, ""), "") &amp; " " &amp; _xlfn.IFNA(IF(AND(VLOOKUP(D73, 'Selection Lists'!$A$4:$B$17, 2, FALSE)&lt;1.5, INT(F73)&gt;45), $Q$6, ""), "") &amp; " " &amp; _xlfn.IFNA(IF(AND(OR(G73="X",H73="X"), OR(VLOOKUP(D73, 'Selection Lists'!$A$4:$B$17, 2, FALSE)&lt;0.75, INT(F73)&gt;45)), $Q$7, ""), "")</f>
        <v xml:space="preserve">  </v>
      </c>
    </row>
    <row r="74" spans="1:14" x14ac:dyDescent="0.2">
      <c r="A74" s="182"/>
      <c r="B74" s="156" t="s">
        <v>13</v>
      </c>
      <c r="C74" s="26"/>
      <c r="D74" s="27"/>
      <c r="E74" s="26"/>
      <c r="F74" s="28"/>
      <c r="G74" s="46"/>
      <c r="H74" s="29"/>
      <c r="I74" s="29"/>
      <c r="J74" s="29"/>
      <c r="K74" s="29"/>
      <c r="L74" s="176" t="str">
        <f t="shared" si="4"/>
        <v/>
      </c>
      <c r="M74" s="177" t="str">
        <f t="shared" si="3"/>
        <v/>
      </c>
      <c r="N74" s="175" t="str">
        <f>_xlfn.IFNA(IF(OR(L74&gt;50, OR(OR(VLOOKUP(D74,'Selection Lists'!$A$4:$B$17, 2, FALSE)&lt;3/8, VLOOKUP(D74, 'Selection Lists'!$A$4:$B$17, 2, FALSE)&gt;2)), OR(INT(F74)&lt;10, INT(F74)&gt;55)), $Q$5, ""), "") &amp; " " &amp; _xlfn.IFNA(IF(AND(VLOOKUP(D74, 'Selection Lists'!$A$4:$B$17, 2, FALSE)&lt;1.5, INT(F74)&gt;45), $Q$6, ""), "") &amp; " " &amp; _xlfn.IFNA(IF(AND(OR(G74="X",H74="X"), OR(VLOOKUP(D74, 'Selection Lists'!$A$4:$B$17, 2, FALSE)&lt;0.75, INT(F74)&gt;45)), $Q$7, ""), "")</f>
        <v xml:space="preserve">  </v>
      </c>
    </row>
    <row r="75" spans="1:14" ht="13.5" thickBot="1" x14ac:dyDescent="0.25">
      <c r="A75" s="183"/>
      <c r="B75" s="158" t="s">
        <v>14</v>
      </c>
      <c r="C75" s="35"/>
      <c r="D75" s="36"/>
      <c r="E75" s="35"/>
      <c r="F75" s="37"/>
      <c r="G75" s="47"/>
      <c r="H75" s="38"/>
      <c r="I75" s="38"/>
      <c r="J75" s="38"/>
      <c r="K75" s="38"/>
      <c r="L75" s="178" t="str">
        <f t="shared" si="4"/>
        <v/>
      </c>
      <c r="M75" s="179" t="str">
        <f t="shared" si="3"/>
        <v/>
      </c>
      <c r="N75" s="175" t="str">
        <f>_xlfn.IFNA(IF(OR(L75&gt;50, OR(OR(VLOOKUP(D75,'Selection Lists'!$A$4:$B$17, 2, FALSE)&lt;3/8, VLOOKUP(D75, 'Selection Lists'!$A$4:$B$17, 2, FALSE)&gt;2)), OR(INT(F75)&lt;10, INT(F75)&gt;55)), $Q$5, ""), "") &amp; " " &amp; _xlfn.IFNA(IF(AND(VLOOKUP(D75, 'Selection Lists'!$A$4:$B$17, 2, FALSE)&lt;1.5, INT(F75)&gt;45), $Q$6, ""), "") &amp; " " &amp; _xlfn.IFNA(IF(AND(OR(G75="X",H75="X"), OR(VLOOKUP(D75, 'Selection Lists'!$A$4:$B$17, 2, FALSE)&lt;0.75, INT(F75)&gt;45)), $Q$7, ""), "")</f>
        <v xml:space="preserve">  </v>
      </c>
    </row>
    <row r="76" spans="1:14" x14ac:dyDescent="0.2">
      <c r="A76" s="181">
        <v>25</v>
      </c>
      <c r="B76" s="154" t="s">
        <v>12</v>
      </c>
      <c r="C76" s="30"/>
      <c r="D76" s="31"/>
      <c r="E76" s="32"/>
      <c r="F76" s="33"/>
      <c r="G76" s="45"/>
      <c r="H76" s="34"/>
      <c r="I76" s="34"/>
      <c r="J76" s="34"/>
      <c r="K76" s="34"/>
      <c r="L76" s="173" t="str">
        <f t="shared" si="4"/>
        <v/>
      </c>
      <c r="M76" s="174" t="str">
        <f t="shared" si="3"/>
        <v/>
      </c>
      <c r="N76" s="175" t="str">
        <f>_xlfn.IFNA(IF(OR(L76&gt;50, OR(OR(VLOOKUP(D76,'Selection Lists'!$A$4:$B$17, 2, FALSE)&lt;3/8, VLOOKUP(D76, 'Selection Lists'!$A$4:$B$17, 2, FALSE)&gt;2)), OR(INT(F76)&lt;10, INT(F76)&gt;55)), $Q$5, ""), "") &amp; " " &amp; _xlfn.IFNA(IF(AND(VLOOKUP(D76, 'Selection Lists'!$A$4:$B$17, 2, FALSE)&lt;1.5, INT(F76)&gt;45), $Q$6, ""), "") &amp; " " &amp; _xlfn.IFNA(IF(AND(OR(G76="X",H76="X"), OR(VLOOKUP(D76, 'Selection Lists'!$A$4:$B$17, 2, FALSE)&lt;0.75, INT(F76)&gt;45)), $Q$7, ""), "")</f>
        <v xml:space="preserve">  </v>
      </c>
    </row>
    <row r="77" spans="1:14" x14ac:dyDescent="0.2">
      <c r="A77" s="182"/>
      <c r="B77" s="156" t="s">
        <v>13</v>
      </c>
      <c r="C77" s="26"/>
      <c r="D77" s="27"/>
      <c r="E77" s="26"/>
      <c r="F77" s="28"/>
      <c r="G77" s="46"/>
      <c r="H77" s="29"/>
      <c r="I77" s="29"/>
      <c r="J77" s="29"/>
      <c r="K77" s="29"/>
      <c r="L77" s="176" t="str">
        <f t="shared" si="4"/>
        <v/>
      </c>
      <c r="M77" s="177" t="str">
        <f t="shared" si="3"/>
        <v/>
      </c>
      <c r="N77" s="175" t="str">
        <f>_xlfn.IFNA(IF(OR(L77&gt;50, OR(OR(VLOOKUP(D77,'Selection Lists'!$A$4:$B$17, 2, FALSE)&lt;3/8, VLOOKUP(D77, 'Selection Lists'!$A$4:$B$17, 2, FALSE)&gt;2)), OR(INT(F77)&lt;10, INT(F77)&gt;55)), $Q$5, ""), "") &amp; " " &amp; _xlfn.IFNA(IF(AND(VLOOKUP(D77, 'Selection Lists'!$A$4:$B$17, 2, FALSE)&lt;1.5, INT(F77)&gt;45), $Q$6, ""), "") &amp; " " &amp; _xlfn.IFNA(IF(AND(OR(G77="X",H77="X"), OR(VLOOKUP(D77, 'Selection Lists'!$A$4:$B$17, 2, FALSE)&lt;0.75, INT(F77)&gt;45)), $Q$7, ""), "")</f>
        <v xml:space="preserve">  </v>
      </c>
    </row>
    <row r="78" spans="1:14" ht="13.5" thickBot="1" x14ac:dyDescent="0.25">
      <c r="A78" s="183"/>
      <c r="B78" s="158" t="s">
        <v>14</v>
      </c>
      <c r="C78" s="35"/>
      <c r="D78" s="36"/>
      <c r="E78" s="35"/>
      <c r="F78" s="37"/>
      <c r="G78" s="47"/>
      <c r="H78" s="38"/>
      <c r="I78" s="38"/>
      <c r="J78" s="38"/>
      <c r="K78" s="38"/>
      <c r="L78" s="178" t="str">
        <f t="shared" si="4"/>
        <v/>
      </c>
      <c r="M78" s="179" t="str">
        <f t="shared" si="3"/>
        <v/>
      </c>
      <c r="N78" s="175" t="str">
        <f>_xlfn.IFNA(IF(OR(L78&gt;50, OR(OR(VLOOKUP(D78,'Selection Lists'!$A$4:$B$17, 2, FALSE)&lt;3/8, VLOOKUP(D78, 'Selection Lists'!$A$4:$B$17, 2, FALSE)&gt;2)), OR(INT(F78)&lt;10, INT(F78)&gt;55)), $Q$5, ""), "") &amp; " " &amp; _xlfn.IFNA(IF(AND(VLOOKUP(D78, 'Selection Lists'!$A$4:$B$17, 2, FALSE)&lt;1.5, INT(F78)&gt;45), $Q$6, ""), "") &amp; " " &amp; _xlfn.IFNA(IF(AND(OR(G78="X",H78="X"), OR(VLOOKUP(D78, 'Selection Lists'!$A$4:$B$17, 2, FALSE)&lt;0.75, INT(F78)&gt;45)), $Q$7, ""), "")</f>
        <v xml:space="preserve">  </v>
      </c>
    </row>
    <row r="79" spans="1:14" x14ac:dyDescent="0.2">
      <c r="A79" s="181">
        <v>26</v>
      </c>
      <c r="B79" s="154" t="s">
        <v>12</v>
      </c>
      <c r="C79" s="30"/>
      <c r="D79" s="31"/>
      <c r="E79" s="32"/>
      <c r="F79" s="33"/>
      <c r="G79" s="45"/>
      <c r="H79" s="34"/>
      <c r="I79" s="34"/>
      <c r="J79" s="34"/>
      <c r="K79" s="34"/>
      <c r="L79" s="173" t="str">
        <f t="shared" si="4"/>
        <v/>
      </c>
      <c r="M79" s="174" t="str">
        <f t="shared" si="3"/>
        <v/>
      </c>
      <c r="N79" s="175" t="str">
        <f>_xlfn.IFNA(IF(OR(L79&gt;50, OR(OR(VLOOKUP(D79,'Selection Lists'!$A$4:$B$17, 2, FALSE)&lt;3/8, VLOOKUP(D79, 'Selection Lists'!$A$4:$B$17, 2, FALSE)&gt;2)), OR(INT(F79)&lt;10, INT(F79)&gt;55)), $Q$5, ""), "") &amp; " " &amp; _xlfn.IFNA(IF(AND(VLOOKUP(D79, 'Selection Lists'!$A$4:$B$17, 2, FALSE)&lt;1.5, INT(F79)&gt;45), $Q$6, ""), "") &amp; " " &amp; _xlfn.IFNA(IF(AND(OR(G79="X",H79="X"), OR(VLOOKUP(D79, 'Selection Lists'!$A$4:$B$17, 2, FALSE)&lt;0.75, INT(F79)&gt;45)), $Q$7, ""), "")</f>
        <v xml:space="preserve">  </v>
      </c>
    </row>
    <row r="80" spans="1:14" x14ac:dyDescent="0.2">
      <c r="A80" s="182"/>
      <c r="B80" s="156" t="s">
        <v>13</v>
      </c>
      <c r="C80" s="26"/>
      <c r="D80" s="27"/>
      <c r="E80" s="26"/>
      <c r="F80" s="28"/>
      <c r="G80" s="46"/>
      <c r="H80" s="29"/>
      <c r="I80" s="29"/>
      <c r="J80" s="29"/>
      <c r="K80" s="29"/>
      <c r="L80" s="176" t="str">
        <f t="shared" si="4"/>
        <v/>
      </c>
      <c r="M80" s="177" t="str">
        <f t="shared" si="3"/>
        <v/>
      </c>
      <c r="N80" s="175" t="str">
        <f>_xlfn.IFNA(IF(OR(L80&gt;50, OR(OR(VLOOKUP(D80,'Selection Lists'!$A$4:$B$17, 2, FALSE)&lt;3/8, VLOOKUP(D80, 'Selection Lists'!$A$4:$B$17, 2, FALSE)&gt;2)), OR(INT(F80)&lt;10, INT(F80)&gt;55)), $Q$5, ""), "") &amp; " " &amp; _xlfn.IFNA(IF(AND(VLOOKUP(D80, 'Selection Lists'!$A$4:$B$17, 2, FALSE)&lt;1.5, INT(F80)&gt;45), $Q$6, ""), "") &amp; " " &amp; _xlfn.IFNA(IF(AND(OR(G80="X",H80="X"), OR(VLOOKUP(D80, 'Selection Lists'!$A$4:$B$17, 2, FALSE)&lt;0.75, INT(F80)&gt;45)), $Q$7, ""), "")</f>
        <v xml:space="preserve">  </v>
      </c>
    </row>
    <row r="81" spans="1:14" ht="13.5" thickBot="1" x14ac:dyDescent="0.25">
      <c r="A81" s="183"/>
      <c r="B81" s="158" t="s">
        <v>14</v>
      </c>
      <c r="C81" s="35"/>
      <c r="D81" s="36"/>
      <c r="E81" s="35"/>
      <c r="F81" s="37"/>
      <c r="G81" s="47"/>
      <c r="H81" s="38"/>
      <c r="I81" s="38"/>
      <c r="J81" s="38"/>
      <c r="K81" s="38"/>
      <c r="L81" s="178" t="str">
        <f t="shared" si="4"/>
        <v/>
      </c>
      <c r="M81" s="179" t="str">
        <f t="shared" si="3"/>
        <v/>
      </c>
      <c r="N81" s="175" t="str">
        <f>_xlfn.IFNA(IF(OR(L81&gt;50, OR(OR(VLOOKUP(D81,'Selection Lists'!$A$4:$B$17, 2, FALSE)&lt;3/8, VLOOKUP(D81, 'Selection Lists'!$A$4:$B$17, 2, FALSE)&gt;2)), OR(INT(F81)&lt;10, INT(F81)&gt;55)), $Q$5, ""), "") &amp; " " &amp; _xlfn.IFNA(IF(AND(VLOOKUP(D81, 'Selection Lists'!$A$4:$B$17, 2, FALSE)&lt;1.5, INT(F81)&gt;45), $Q$6, ""), "") &amp; " " &amp; _xlfn.IFNA(IF(AND(OR(G81="X",H81="X"), OR(VLOOKUP(D81, 'Selection Lists'!$A$4:$B$17, 2, FALSE)&lt;0.75, INT(F81)&gt;45)), $Q$7, ""), "")</f>
        <v xml:space="preserve">  </v>
      </c>
    </row>
    <row r="82" spans="1:14" x14ac:dyDescent="0.2">
      <c r="A82" s="181">
        <v>27</v>
      </c>
      <c r="B82" s="154" t="s">
        <v>12</v>
      </c>
      <c r="C82" s="30"/>
      <c r="D82" s="31"/>
      <c r="E82" s="32"/>
      <c r="F82" s="33"/>
      <c r="G82" s="45"/>
      <c r="H82" s="34"/>
      <c r="I82" s="34"/>
      <c r="J82" s="34"/>
      <c r="K82" s="34"/>
      <c r="L82" s="173" t="str">
        <f t="shared" si="4"/>
        <v/>
      </c>
      <c r="M82" s="174" t="str">
        <f t="shared" si="3"/>
        <v/>
      </c>
      <c r="N82" s="175" t="str">
        <f>_xlfn.IFNA(IF(OR(L82&gt;50, OR(OR(VLOOKUP(D82,'Selection Lists'!$A$4:$B$17, 2, FALSE)&lt;3/8, VLOOKUP(D82, 'Selection Lists'!$A$4:$B$17, 2, FALSE)&gt;2)), OR(INT(F82)&lt;10, INT(F82)&gt;55)), $Q$5, ""), "") &amp; " " &amp; _xlfn.IFNA(IF(AND(VLOOKUP(D82, 'Selection Lists'!$A$4:$B$17, 2, FALSE)&lt;1.5, INT(F82)&gt;45), $Q$6, ""), "") &amp; " " &amp; _xlfn.IFNA(IF(AND(OR(G82="X",H82="X"), OR(VLOOKUP(D82, 'Selection Lists'!$A$4:$B$17, 2, FALSE)&lt;0.75, INT(F82)&gt;45)), $Q$7, ""), "")</f>
        <v xml:space="preserve">  </v>
      </c>
    </row>
    <row r="83" spans="1:14" x14ac:dyDescent="0.2">
      <c r="A83" s="182"/>
      <c r="B83" s="156" t="s">
        <v>13</v>
      </c>
      <c r="C83" s="26"/>
      <c r="D83" s="27"/>
      <c r="E83" s="26"/>
      <c r="F83" s="28"/>
      <c r="G83" s="46"/>
      <c r="H83" s="29"/>
      <c r="I83" s="29"/>
      <c r="J83" s="29"/>
      <c r="K83" s="29"/>
      <c r="L83" s="176" t="str">
        <f t="shared" si="4"/>
        <v/>
      </c>
      <c r="M83" s="177" t="str">
        <f t="shared" si="3"/>
        <v/>
      </c>
      <c r="N83" s="175" t="str">
        <f>_xlfn.IFNA(IF(OR(L83&gt;50, OR(OR(VLOOKUP(D83,'Selection Lists'!$A$4:$B$17, 2, FALSE)&lt;3/8, VLOOKUP(D83, 'Selection Lists'!$A$4:$B$17, 2, FALSE)&gt;2)), OR(INT(F83)&lt;10, INT(F83)&gt;55)), $Q$5, ""), "") &amp; " " &amp; _xlfn.IFNA(IF(AND(VLOOKUP(D83, 'Selection Lists'!$A$4:$B$17, 2, FALSE)&lt;1.5, INT(F83)&gt;45), $Q$6, ""), "") &amp; " " &amp; _xlfn.IFNA(IF(AND(OR(G83="X",H83="X"), OR(VLOOKUP(D83, 'Selection Lists'!$A$4:$B$17, 2, FALSE)&lt;0.75, INT(F83)&gt;45)), $Q$7, ""), "")</f>
        <v xml:space="preserve">  </v>
      </c>
    </row>
    <row r="84" spans="1:14" ht="13.5" thickBot="1" x14ac:dyDescent="0.25">
      <c r="A84" s="183"/>
      <c r="B84" s="158" t="s">
        <v>14</v>
      </c>
      <c r="C84" s="35"/>
      <c r="D84" s="36"/>
      <c r="E84" s="35"/>
      <c r="F84" s="37"/>
      <c r="G84" s="47"/>
      <c r="H84" s="38"/>
      <c r="I84" s="38"/>
      <c r="J84" s="38"/>
      <c r="K84" s="38"/>
      <c r="L84" s="178" t="str">
        <f t="shared" si="4"/>
        <v/>
      </c>
      <c r="M84" s="179" t="str">
        <f t="shared" si="3"/>
        <v/>
      </c>
      <c r="N84" s="175" t="str">
        <f>_xlfn.IFNA(IF(OR(L84&gt;50, OR(OR(VLOOKUP(D84,'Selection Lists'!$A$4:$B$17, 2, FALSE)&lt;3/8, VLOOKUP(D84, 'Selection Lists'!$A$4:$B$17, 2, FALSE)&gt;2)), OR(INT(F84)&lt;10, INT(F84)&gt;55)), $Q$5, ""), "") &amp; " " &amp; _xlfn.IFNA(IF(AND(VLOOKUP(D84, 'Selection Lists'!$A$4:$B$17, 2, FALSE)&lt;1.5, INT(F84)&gt;45), $Q$6, ""), "") &amp; " " &amp; _xlfn.IFNA(IF(AND(OR(G84="X",H84="X"), OR(VLOOKUP(D84, 'Selection Lists'!$A$4:$B$17, 2, FALSE)&lt;0.75, INT(F84)&gt;45)), $Q$7, ""), "")</f>
        <v xml:space="preserve">  </v>
      </c>
    </row>
    <row r="85" spans="1:14" x14ac:dyDescent="0.2">
      <c r="A85" s="181">
        <v>28</v>
      </c>
      <c r="B85" s="154" t="s">
        <v>12</v>
      </c>
      <c r="C85" s="30"/>
      <c r="D85" s="31"/>
      <c r="E85" s="32"/>
      <c r="F85" s="33"/>
      <c r="G85" s="45"/>
      <c r="H85" s="34"/>
      <c r="I85" s="34"/>
      <c r="J85" s="34"/>
      <c r="K85" s="34"/>
      <c r="L85" s="173" t="str">
        <f t="shared" si="4"/>
        <v/>
      </c>
      <c r="M85" s="174" t="str">
        <f t="shared" si="3"/>
        <v/>
      </c>
      <c r="N85" s="175" t="str">
        <f>_xlfn.IFNA(IF(OR(L85&gt;50, OR(OR(VLOOKUP(D85,'Selection Lists'!$A$4:$B$17, 2, FALSE)&lt;3/8, VLOOKUP(D85, 'Selection Lists'!$A$4:$B$17, 2, FALSE)&gt;2)), OR(INT(F85)&lt;10, INT(F85)&gt;55)), $Q$5, ""), "") &amp; " " &amp; _xlfn.IFNA(IF(AND(VLOOKUP(D85, 'Selection Lists'!$A$4:$B$17, 2, FALSE)&lt;1.5, INT(F85)&gt;45), $Q$6, ""), "") &amp; " " &amp; _xlfn.IFNA(IF(AND(OR(G85="X",H85="X"), OR(VLOOKUP(D85, 'Selection Lists'!$A$4:$B$17, 2, FALSE)&lt;0.75, INT(F85)&gt;45)), $Q$7, ""), "")</f>
        <v xml:space="preserve">  </v>
      </c>
    </row>
    <row r="86" spans="1:14" x14ac:dyDescent="0.2">
      <c r="A86" s="182"/>
      <c r="B86" s="156" t="s">
        <v>13</v>
      </c>
      <c r="C86" s="26"/>
      <c r="D86" s="27"/>
      <c r="E86" s="26"/>
      <c r="F86" s="28"/>
      <c r="G86" s="46"/>
      <c r="H86" s="29"/>
      <c r="I86" s="29"/>
      <c r="J86" s="29"/>
      <c r="K86" s="29"/>
      <c r="L86" s="176" t="str">
        <f t="shared" si="4"/>
        <v/>
      </c>
      <c r="M86" s="177" t="str">
        <f t="shared" si="3"/>
        <v/>
      </c>
      <c r="N86" s="175" t="str">
        <f>_xlfn.IFNA(IF(OR(L86&gt;50, OR(OR(VLOOKUP(D86,'Selection Lists'!$A$4:$B$17, 2, FALSE)&lt;3/8, VLOOKUP(D86, 'Selection Lists'!$A$4:$B$17, 2, FALSE)&gt;2)), OR(INT(F86)&lt;10, INT(F86)&gt;55)), $Q$5, ""), "") &amp; " " &amp; _xlfn.IFNA(IF(AND(VLOOKUP(D86, 'Selection Lists'!$A$4:$B$17, 2, FALSE)&lt;1.5, INT(F86)&gt;45), $Q$6, ""), "") &amp; " " &amp; _xlfn.IFNA(IF(AND(OR(G86="X",H86="X"), OR(VLOOKUP(D86, 'Selection Lists'!$A$4:$B$17, 2, FALSE)&lt;0.75, INT(F86)&gt;45)), $Q$7, ""), "")</f>
        <v xml:space="preserve">  </v>
      </c>
    </row>
    <row r="87" spans="1:14" ht="13.5" thickBot="1" x14ac:dyDescent="0.25">
      <c r="A87" s="183"/>
      <c r="B87" s="158" t="s">
        <v>14</v>
      </c>
      <c r="C87" s="35"/>
      <c r="D87" s="36"/>
      <c r="E87" s="35"/>
      <c r="F87" s="37"/>
      <c r="G87" s="47"/>
      <c r="H87" s="38"/>
      <c r="I87" s="38"/>
      <c r="J87" s="38"/>
      <c r="K87" s="38"/>
      <c r="L87" s="178" t="str">
        <f t="shared" si="4"/>
        <v/>
      </c>
      <c r="M87" s="179" t="str">
        <f t="shared" si="3"/>
        <v/>
      </c>
      <c r="N87" s="175" t="str">
        <f>_xlfn.IFNA(IF(OR(L87&gt;50, OR(OR(VLOOKUP(D87,'Selection Lists'!$A$4:$B$17, 2, FALSE)&lt;3/8, VLOOKUP(D87, 'Selection Lists'!$A$4:$B$17, 2, FALSE)&gt;2)), OR(INT(F87)&lt;10, INT(F87)&gt;55)), $Q$5, ""), "") &amp; " " &amp; _xlfn.IFNA(IF(AND(VLOOKUP(D87, 'Selection Lists'!$A$4:$B$17, 2, FALSE)&lt;1.5, INT(F87)&gt;45), $Q$6, ""), "") &amp; " " &amp; _xlfn.IFNA(IF(AND(OR(G87="X",H87="X"), OR(VLOOKUP(D87, 'Selection Lists'!$A$4:$B$17, 2, FALSE)&lt;0.75, INT(F87)&gt;45)), $Q$7, ""), "")</f>
        <v xml:space="preserve">  </v>
      </c>
    </row>
    <row r="88" spans="1:14" x14ac:dyDescent="0.2">
      <c r="A88" s="181">
        <v>29</v>
      </c>
      <c r="B88" s="154" t="s">
        <v>12</v>
      </c>
      <c r="C88" s="30"/>
      <c r="D88" s="31"/>
      <c r="E88" s="32"/>
      <c r="F88" s="33"/>
      <c r="G88" s="45"/>
      <c r="H88" s="34"/>
      <c r="I88" s="34"/>
      <c r="J88" s="34"/>
      <c r="K88" s="34"/>
      <c r="L88" s="173" t="str">
        <f t="shared" si="4"/>
        <v/>
      </c>
      <c r="M88" s="174" t="str">
        <f t="shared" si="3"/>
        <v/>
      </c>
      <c r="N88" s="175" t="str">
        <f>_xlfn.IFNA(IF(OR(L88&gt;50, OR(OR(VLOOKUP(D88,'Selection Lists'!$A$4:$B$17, 2, FALSE)&lt;3/8, VLOOKUP(D88, 'Selection Lists'!$A$4:$B$17, 2, FALSE)&gt;2)), OR(INT(F88)&lt;10, INT(F88)&gt;55)), $Q$5, ""), "") &amp; " " &amp; _xlfn.IFNA(IF(AND(VLOOKUP(D88, 'Selection Lists'!$A$4:$B$17, 2, FALSE)&lt;1.5, INT(F88)&gt;45), $Q$6, ""), "") &amp; " " &amp; _xlfn.IFNA(IF(AND(OR(G88="X",H88="X"), OR(VLOOKUP(D88, 'Selection Lists'!$A$4:$B$17, 2, FALSE)&lt;0.75, INT(F88)&gt;45)), $Q$7, ""), "")</f>
        <v xml:space="preserve">  </v>
      </c>
    </row>
    <row r="89" spans="1:14" x14ac:dyDescent="0.2">
      <c r="A89" s="182"/>
      <c r="B89" s="156" t="s">
        <v>13</v>
      </c>
      <c r="C89" s="26"/>
      <c r="D89" s="27"/>
      <c r="E89" s="26"/>
      <c r="F89" s="28"/>
      <c r="G89" s="46"/>
      <c r="H89" s="29"/>
      <c r="I89" s="29"/>
      <c r="J89" s="29"/>
      <c r="K89" s="29"/>
      <c r="L89" s="176" t="str">
        <f t="shared" si="4"/>
        <v/>
      </c>
      <c r="M89" s="177" t="str">
        <f t="shared" si="3"/>
        <v/>
      </c>
      <c r="N89" s="175" t="str">
        <f>_xlfn.IFNA(IF(OR(L89&gt;50, OR(OR(VLOOKUP(D89,'Selection Lists'!$A$4:$B$17, 2, FALSE)&lt;3/8, VLOOKUP(D89, 'Selection Lists'!$A$4:$B$17, 2, FALSE)&gt;2)), OR(INT(F89)&lt;10, INT(F89)&gt;55)), $Q$5, ""), "") &amp; " " &amp; _xlfn.IFNA(IF(AND(VLOOKUP(D89, 'Selection Lists'!$A$4:$B$17, 2, FALSE)&lt;1.5, INT(F89)&gt;45), $Q$6, ""), "") &amp; " " &amp; _xlfn.IFNA(IF(AND(OR(G89="X",H89="X"), OR(VLOOKUP(D89, 'Selection Lists'!$A$4:$B$17, 2, FALSE)&lt;0.75, INT(F89)&gt;45)), $Q$7, ""), "")</f>
        <v xml:space="preserve">  </v>
      </c>
    </row>
    <row r="90" spans="1:14" ht="13.5" thickBot="1" x14ac:dyDescent="0.25">
      <c r="A90" s="183"/>
      <c r="B90" s="158" t="s">
        <v>14</v>
      </c>
      <c r="C90" s="35"/>
      <c r="D90" s="36"/>
      <c r="E90" s="35"/>
      <c r="F90" s="37"/>
      <c r="G90" s="47"/>
      <c r="H90" s="38"/>
      <c r="I90" s="38"/>
      <c r="J90" s="38"/>
      <c r="K90" s="38"/>
      <c r="L90" s="178" t="str">
        <f t="shared" si="4"/>
        <v/>
      </c>
      <c r="M90" s="179" t="str">
        <f t="shared" si="3"/>
        <v/>
      </c>
      <c r="N90" s="175" t="str">
        <f>_xlfn.IFNA(IF(OR(L90&gt;50, OR(OR(VLOOKUP(D90,'Selection Lists'!$A$4:$B$17, 2, FALSE)&lt;3/8, VLOOKUP(D90, 'Selection Lists'!$A$4:$B$17, 2, FALSE)&gt;2)), OR(INT(F90)&lt;10, INT(F90)&gt;55)), $Q$5, ""), "") &amp; " " &amp; _xlfn.IFNA(IF(AND(VLOOKUP(D90, 'Selection Lists'!$A$4:$B$17, 2, FALSE)&lt;1.5, INT(F90)&gt;45), $Q$6, ""), "") &amp; " " &amp; _xlfn.IFNA(IF(AND(OR(G90="X",H90="X"), OR(VLOOKUP(D90, 'Selection Lists'!$A$4:$B$17, 2, FALSE)&lt;0.75, INT(F90)&gt;45)), $Q$7, ""), "")</f>
        <v xml:space="preserve">  </v>
      </c>
    </row>
    <row r="91" spans="1:14" x14ac:dyDescent="0.2">
      <c r="A91" s="181">
        <v>30</v>
      </c>
      <c r="B91" s="154" t="s">
        <v>12</v>
      </c>
      <c r="C91" s="30"/>
      <c r="D91" s="31"/>
      <c r="E91" s="32"/>
      <c r="F91" s="33"/>
      <c r="G91" s="45"/>
      <c r="H91" s="34"/>
      <c r="I91" s="34"/>
      <c r="J91" s="34"/>
      <c r="K91" s="34"/>
      <c r="L91" s="173" t="str">
        <f t="shared" si="4"/>
        <v/>
      </c>
      <c r="M91" s="174" t="str">
        <f t="shared" si="3"/>
        <v/>
      </c>
      <c r="N91" s="175" t="str">
        <f>_xlfn.IFNA(IF(OR(L91&gt;50, OR(OR(VLOOKUP(D91,'Selection Lists'!$A$4:$B$17, 2, FALSE)&lt;3/8, VLOOKUP(D91, 'Selection Lists'!$A$4:$B$17, 2, FALSE)&gt;2)), OR(INT(F91)&lt;10, INT(F91)&gt;55)), $Q$5, ""), "") &amp; " " &amp; _xlfn.IFNA(IF(AND(VLOOKUP(D91, 'Selection Lists'!$A$4:$B$17, 2, FALSE)&lt;1.5, INT(F91)&gt;45), $Q$6, ""), "") &amp; " " &amp; _xlfn.IFNA(IF(AND(OR(G91="X",H91="X"), OR(VLOOKUP(D91, 'Selection Lists'!$A$4:$B$17, 2, FALSE)&lt;0.75, INT(F91)&gt;45)), $Q$7, ""), "")</f>
        <v xml:space="preserve">  </v>
      </c>
    </row>
    <row r="92" spans="1:14" x14ac:dyDescent="0.2">
      <c r="A92" s="182"/>
      <c r="B92" s="156" t="s">
        <v>13</v>
      </c>
      <c r="C92" s="26"/>
      <c r="D92" s="27"/>
      <c r="E92" s="26"/>
      <c r="F92" s="28"/>
      <c r="G92" s="46"/>
      <c r="H92" s="29"/>
      <c r="I92" s="29"/>
      <c r="J92" s="29"/>
      <c r="K92" s="29"/>
      <c r="L92" s="176" t="str">
        <f t="shared" si="4"/>
        <v/>
      </c>
      <c r="M92" s="177" t="str">
        <f t="shared" si="3"/>
        <v/>
      </c>
      <c r="N92" s="175" t="str">
        <f>_xlfn.IFNA(IF(OR(L92&gt;50, OR(OR(VLOOKUP(D92,'Selection Lists'!$A$4:$B$17, 2, FALSE)&lt;3/8, VLOOKUP(D92, 'Selection Lists'!$A$4:$B$17, 2, FALSE)&gt;2)), OR(INT(F92)&lt;10, INT(F92)&gt;55)), $Q$5, ""), "") &amp; " " &amp; _xlfn.IFNA(IF(AND(VLOOKUP(D92, 'Selection Lists'!$A$4:$B$17, 2, FALSE)&lt;1.5, INT(F92)&gt;45), $Q$6, ""), "") &amp; " " &amp; _xlfn.IFNA(IF(AND(OR(G92="X",H92="X"), OR(VLOOKUP(D92, 'Selection Lists'!$A$4:$B$17, 2, FALSE)&lt;0.75, INT(F92)&gt;45)), $Q$7, ""), "")</f>
        <v xml:space="preserve">  </v>
      </c>
    </row>
    <row r="93" spans="1:14" ht="13.5" thickBot="1" x14ac:dyDescent="0.25">
      <c r="A93" s="182"/>
      <c r="B93" s="184" t="s">
        <v>14</v>
      </c>
      <c r="C93" s="41"/>
      <c r="D93" s="42"/>
      <c r="E93" s="41"/>
      <c r="F93" s="43"/>
      <c r="G93" s="48"/>
      <c r="H93" s="44"/>
      <c r="I93" s="44"/>
      <c r="J93" s="44"/>
      <c r="K93" s="44"/>
      <c r="L93" s="178" t="str">
        <f t="shared" si="4"/>
        <v/>
      </c>
      <c r="M93" s="185" t="str">
        <f t="shared" si="3"/>
        <v/>
      </c>
      <c r="N93" s="175" t="str">
        <f>_xlfn.IFNA(IF(OR(L93&gt;50, OR(OR(VLOOKUP(D93,'Selection Lists'!$A$4:$B$17, 2, FALSE)&lt;3/8, VLOOKUP(D93, 'Selection Lists'!$A$4:$B$17, 2, FALSE)&gt;2)), OR(INT(F93)&lt;10, INT(F93)&gt;55)), $Q$5, ""), "") &amp; " " &amp; _xlfn.IFNA(IF(AND(VLOOKUP(D93, 'Selection Lists'!$A$4:$B$17, 2, FALSE)&lt;1.5, INT(F93)&gt;45), $Q$6, ""), "") &amp; " " &amp; _xlfn.IFNA(IF(AND(OR(G93="X",H93="X"), OR(VLOOKUP(D93, 'Selection Lists'!$A$4:$B$17, 2, FALSE)&lt;0.75, INT(F93)&gt;45)), $Q$7, ""), "")</f>
        <v xml:space="preserve">  </v>
      </c>
    </row>
    <row r="94" spans="1:14" ht="12.75" customHeight="1" x14ac:dyDescent="0.2">
      <c r="G94" s="188" t="s">
        <v>74</v>
      </c>
      <c r="H94" s="189"/>
      <c r="I94" s="189"/>
      <c r="J94" s="189"/>
      <c r="K94" s="189"/>
      <c r="L94" s="190"/>
      <c r="M94" s="127">
        <f>COUNTIF(Course1Table6[KZ, in],"&gt;0")</f>
        <v>0</v>
      </c>
      <c r="N94" s="203" t="str">
        <f>IF(M94*2&gt;60,$Q$11,"")</f>
        <v/>
      </c>
    </row>
    <row r="95" spans="1:14" ht="12.75" customHeight="1" x14ac:dyDescent="0.2">
      <c r="G95" s="191" t="s">
        <v>78</v>
      </c>
      <c r="H95" s="192"/>
      <c r="I95" s="192"/>
      <c r="J95" s="192"/>
      <c r="K95" s="192"/>
      <c r="L95" s="193"/>
      <c r="M95" s="204">
        <f>COUNTIF(F4:F93, "&gt;40")</f>
        <v>0</v>
      </c>
      <c r="N95" s="203"/>
    </row>
    <row r="96" spans="1:14" ht="12.75" customHeight="1" x14ac:dyDescent="0.2">
      <c r="G96" s="191" t="s">
        <v>102</v>
      </c>
      <c r="H96" s="192"/>
      <c r="I96" s="192"/>
      <c r="J96" s="192"/>
      <c r="K96" s="192"/>
      <c r="L96" s="193"/>
      <c r="M96" s="62" t="str">
        <f>IFERROR(M95/M94,"")</f>
        <v/>
      </c>
      <c r="N96" s="205" t="str">
        <f>IF(M96&lt;0.3, $Q$10, "")</f>
        <v/>
      </c>
    </row>
    <row r="97" spans="7:14" x14ac:dyDescent="0.2">
      <c r="G97" s="191" t="s">
        <v>75</v>
      </c>
      <c r="H97" s="192"/>
      <c r="I97" s="192"/>
      <c r="J97" s="192"/>
      <c r="K97" s="192"/>
      <c r="L97" s="193"/>
      <c r="M97" s="194" t="str">
        <f>IFERROR(AVERAGE(D4:D93), "")</f>
        <v/>
      </c>
      <c r="N97" s="195"/>
    </row>
    <row r="98" spans="7:14" ht="12.75" customHeight="1" x14ac:dyDescent="0.2">
      <c r="G98" s="191" t="s">
        <v>76</v>
      </c>
      <c r="H98" s="192"/>
      <c r="I98" s="192"/>
      <c r="J98" s="192"/>
      <c r="K98" s="192"/>
      <c r="L98" s="193"/>
      <c r="M98" s="142" t="str">
        <f>IFERROR(AVERAGE(F4:F93), "")</f>
        <v/>
      </c>
      <c r="N98" s="196"/>
    </row>
    <row r="99" spans="7:14" ht="12.75" customHeight="1" x14ac:dyDescent="0.2">
      <c r="G99" s="191" t="s">
        <v>109</v>
      </c>
      <c r="H99" s="192"/>
      <c r="I99" s="192"/>
      <c r="J99" s="192"/>
      <c r="K99" s="192"/>
      <c r="L99" s="193"/>
      <c r="M99" s="143" t="str">
        <f>IFERROR(_xlfn.STDEV.P(L4:L93), "")</f>
        <v/>
      </c>
      <c r="N99" s="197"/>
    </row>
    <row r="100" spans="7:14" ht="12.75" customHeight="1" x14ac:dyDescent="0.2">
      <c r="G100" s="191" t="s">
        <v>101</v>
      </c>
      <c r="H100" s="192"/>
      <c r="I100" s="192"/>
      <c r="J100" s="192"/>
      <c r="K100" s="192"/>
      <c r="L100" s="193"/>
      <c r="M100" s="143" t="str">
        <f>IFERROR(AVERAGE(L4:L93), "")</f>
        <v/>
      </c>
      <c r="N100" s="119" t="str">
        <f>IF(0&lt;M100&lt;28, $Q$9, "") &amp; " " &amp; IF(M100&gt;36, $Q$8, "")</f>
        <v xml:space="preserve"> ◄Max 36T</v>
      </c>
    </row>
    <row r="101" spans="7:14" ht="13.5" customHeight="1" thickBot="1" x14ac:dyDescent="0.25">
      <c r="G101" s="198" t="s">
        <v>77</v>
      </c>
      <c r="H101" s="199"/>
      <c r="I101" s="199"/>
      <c r="J101" s="199"/>
      <c r="K101" s="199"/>
      <c r="L101" s="200"/>
      <c r="M101" s="145" t="str">
        <f>IFERROR(AVERAGE(M4:M93), "")</f>
        <v/>
      </c>
    </row>
    <row r="104" spans="7:14" x14ac:dyDescent="0.2">
      <c r="K104" s="202" t="s">
        <v>15</v>
      </c>
    </row>
  </sheetData>
  <sheetProtection algorithmName="SHA-512" hashValue="hhmqxhMzJi6LEPa0z+77uKqO+DcjADZJum3lVgfdaCrUUOUyT7IQSXi4NLl0e+9Ym5uyVJuHTBVMM87DIGVLDg==" saltValue="rh+ZJ3c/E7rZgVBurbXPjw==" spinCount="100000" sheet="1" objects="1" scenarios="1" selectLockedCells="1"/>
  <mergeCells count="26">
    <mergeCell ref="A1:M1"/>
    <mergeCell ref="A2:M2"/>
    <mergeCell ref="Q4:R4"/>
    <mergeCell ref="S4:AB4"/>
    <mergeCell ref="Q5:R5"/>
    <mergeCell ref="S5:AB5"/>
    <mergeCell ref="Q6:R6"/>
    <mergeCell ref="S6:AB6"/>
    <mergeCell ref="Q7:R7"/>
    <mergeCell ref="S7:AB7"/>
    <mergeCell ref="Q8:R8"/>
    <mergeCell ref="S8:AB8"/>
    <mergeCell ref="G101:L101"/>
    <mergeCell ref="Q9:R9"/>
    <mergeCell ref="S9:AB9"/>
    <mergeCell ref="Q10:R10"/>
    <mergeCell ref="S10:AB10"/>
    <mergeCell ref="G94:L94"/>
    <mergeCell ref="G95:L95"/>
    <mergeCell ref="Q11:R11"/>
    <mergeCell ref="S11:AB11"/>
    <mergeCell ref="G96:L96"/>
    <mergeCell ref="G97:L97"/>
    <mergeCell ref="G98:L98"/>
    <mergeCell ref="G99:L99"/>
    <mergeCell ref="G100:L100"/>
  </mergeCells>
  <conditionalFormatting sqref="D4:D93">
    <cfRule type="expression" dxfId="95" priority="4" stopIfTrue="1">
      <formula>AND(F4&gt;45, D4&lt;1.5)</formula>
    </cfRule>
  </conditionalFormatting>
  <conditionalFormatting sqref="F4:F93">
    <cfRule type="expression" dxfId="94" priority="5" stopIfTrue="1">
      <formula>AND(NOT(ISBLANK(F4)), OR(F4&lt;10, F4&gt;55))</formula>
    </cfRule>
  </conditionalFormatting>
  <conditionalFormatting sqref="G4:G93">
    <cfRule type="expression" dxfId="93" priority="7">
      <formula>AND(G4 ="X", OR(D4&lt;(3/4), F4&gt;45))</formula>
    </cfRule>
  </conditionalFormatting>
  <conditionalFormatting sqref="H4:H93">
    <cfRule type="expression" dxfId="92" priority="6">
      <formula>AND(H4 ="X", OR(D4&lt;(3/4), F4&gt;45))</formula>
    </cfRule>
  </conditionalFormatting>
  <conditionalFormatting sqref="L4:L93">
    <cfRule type="expression" dxfId="91" priority="3" stopIfTrue="1">
      <formula>AND(ISNUMBER(L4), L4&gt;50)</formula>
    </cfRule>
  </conditionalFormatting>
  <conditionalFormatting sqref="L4:M93">
    <cfRule type="expression" dxfId="90" priority="11" stopIfTrue="1">
      <formula>AND(ISNUMBER(L4), AND(NOT(ISBLANK(L4)), L4&gt;=34, L4&lt;=50))</formula>
    </cfRule>
    <cfRule type="expression" dxfId="89" priority="12" stopIfTrue="1">
      <formula>AND(ISNUMBER(L4), AND(NOT(ISBLANK(L4)), AND(L4&gt;=30, L4&lt;34)))</formula>
    </cfRule>
    <cfRule type="expression" dxfId="88" priority="13" stopIfTrue="1">
      <formula>AND(ISNUMBER(L4), AND(NOT(ISBLANK(L4)), AND(L4&gt;=25, L4&lt;30)))</formula>
    </cfRule>
    <cfRule type="expression" dxfId="87" priority="14" stopIfTrue="1">
      <formula>AND(AND(ISNUMBER(L4),AND(NOT(ISBLANK(L4)),L4&lt;25)))</formula>
    </cfRule>
  </conditionalFormatting>
  <conditionalFormatting sqref="M4:M93">
    <cfRule type="expression" dxfId="86" priority="8" stopIfTrue="1">
      <formula>AND(ISNUMBER(M4), M4&gt;50)</formula>
    </cfRule>
  </conditionalFormatting>
  <conditionalFormatting sqref="M94">
    <cfRule type="expression" dxfId="85" priority="1">
      <formula>$M$94*2&gt;60</formula>
    </cfRule>
  </conditionalFormatting>
  <conditionalFormatting sqref="M96">
    <cfRule type="expression" dxfId="84" priority="2">
      <formula>$M$96&lt;0.3</formula>
    </cfRule>
  </conditionalFormatting>
  <conditionalFormatting sqref="M100">
    <cfRule type="expression" dxfId="83" priority="9" stopIfTrue="1">
      <formula>OR(M100&gt;36, M100&lt;28)</formula>
    </cfRule>
  </conditionalFormatting>
  <dataValidations count="1">
    <dataValidation operator="equal" allowBlank="1" sqref="C4:C93" xr:uid="{A2C9590B-4B15-4CB5-BEE9-0F013C408B08}"/>
  </dataValidations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errorTitle="Invalid Value" xr:uid="{EE6003B9-544A-4E4F-BFBC-B6BAD2A5CD75}">
          <x14:formula1>
            <xm:f>'Selection Lists'!$A$4:$A$17</xm:f>
          </x14:formula1>
          <xm:sqref>D4:D93</xm:sqref>
        </x14:dataValidation>
        <x14:dataValidation type="list" allowBlank="1" showInputMessage="1" showErrorMessage="1" xr:uid="{929754A7-3AFA-4539-BFEB-11E7045A044B}">
          <x14:formula1>
            <xm:f>'Selection Lists'!$D$2:$D$3</xm:f>
          </x14:formula1>
          <xm:sqref>G4:K93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C484F-5158-422A-9D43-E6B2B065D8B8}">
  <dimension ref="A1:AB10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8.140625" style="186" customWidth="1"/>
    <col min="2" max="2" width="8" style="119" customWidth="1"/>
    <col min="3" max="3" width="20.85546875" style="180" customWidth="1"/>
    <col min="4" max="4" width="7.5703125" style="180" customWidth="1"/>
    <col min="5" max="5" width="26.140625" style="180" customWidth="1"/>
    <col min="6" max="6" width="10" style="187" customWidth="1"/>
    <col min="7" max="7" width="7.85546875" style="201" customWidth="1"/>
    <col min="8" max="9" width="5.42578125" style="119" customWidth="1"/>
    <col min="10" max="11" width="5.28515625" style="119" customWidth="1"/>
    <col min="12" max="13" width="7.42578125" style="119" bestFit="1" customWidth="1"/>
    <col min="14" max="14" width="27.42578125" style="119" customWidth="1"/>
    <col min="15" max="15" width="8.140625" style="119" bestFit="1" customWidth="1"/>
    <col min="16" max="16" width="10" style="119" bestFit="1" customWidth="1"/>
    <col min="17" max="17" width="12.42578125" style="119" customWidth="1"/>
    <col min="18" max="18" width="14" style="119" customWidth="1"/>
    <col min="19" max="16384" width="9.140625" style="119"/>
  </cols>
  <sheetData>
    <row r="1" spans="1:28" ht="26.25" x14ac:dyDescent="0.2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1"/>
    </row>
    <row r="2" spans="1:28" ht="23.25" x14ac:dyDescent="0.2">
      <c r="A2" s="162" t="s">
        <v>52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4"/>
    </row>
    <row r="3" spans="1:28" ht="68.25" thickBot="1" x14ac:dyDescent="0.25">
      <c r="A3" s="165" t="s">
        <v>1</v>
      </c>
      <c r="B3" s="166" t="s">
        <v>2</v>
      </c>
      <c r="C3" s="165" t="s">
        <v>3</v>
      </c>
      <c r="D3" s="165" t="s">
        <v>4</v>
      </c>
      <c r="E3" s="167" t="s">
        <v>5</v>
      </c>
      <c r="F3" s="168" t="s">
        <v>6</v>
      </c>
      <c r="G3" s="169" t="s">
        <v>7</v>
      </c>
      <c r="H3" s="169" t="s">
        <v>8</v>
      </c>
      <c r="I3" s="170" t="s">
        <v>9</v>
      </c>
      <c r="J3" s="170" t="s">
        <v>10</v>
      </c>
      <c r="K3" s="169" t="s">
        <v>11</v>
      </c>
      <c r="L3" s="171" t="s">
        <v>100</v>
      </c>
      <c r="M3" s="172" t="s">
        <v>53</v>
      </c>
      <c r="N3" s="172" t="s">
        <v>85</v>
      </c>
    </row>
    <row r="4" spans="1:28" x14ac:dyDescent="0.2">
      <c r="A4" s="153">
        <v>1</v>
      </c>
      <c r="B4" s="154" t="s">
        <v>12</v>
      </c>
      <c r="C4" s="30"/>
      <c r="D4" s="61"/>
      <c r="E4" s="32"/>
      <c r="F4" s="33"/>
      <c r="G4" s="45"/>
      <c r="H4" s="34"/>
      <c r="I4" s="34"/>
      <c r="J4" s="34"/>
      <c r="K4" s="34"/>
      <c r="L4" s="173" t="str">
        <f>IFERROR((F4/D4)*(1+IF(G4="X", 0.75, 0) +IF(H4="X", 0.5, 0) + IF(I4="X", 0.25, 0) +IF(F4&gt;45, 0.125, 0)), "")</f>
        <v/>
      </c>
      <c r="M4" s="174" t="str">
        <f t="shared" ref="M4:M35" si="0">IFERROR((F4/D4)*(1+IF(G4="X", 0.75, 0) +IF(H4="X", 0.5, 0) + IF(I4="X", 0.25, 0) + IF(J4="X", 0.25, 0) + IF(K4="X", 0.25, 0)+IF(F4&gt;45, 0.125, 0)), "")</f>
        <v/>
      </c>
      <c r="N4" s="175" t="str">
        <f>_xlfn.IFNA(IF(OR(L4&gt;50, OR(OR(VLOOKUP(D4,'Selection Lists'!$A$4:$B$17, 2, FALSE)&lt;3/8, VLOOKUP(D4, 'Selection Lists'!$A$4:$B$17, 2, FALSE)&gt;2)), OR(INT(F4)&lt;10, INT(F4)&gt;55)), $Q$5, ""), "") &amp; " " &amp; _xlfn.IFNA(IF(AND(VLOOKUP(D4, 'Selection Lists'!$A$4:$B$17, 2, FALSE)&lt;1.5, INT(F4)&gt;45), $Q$6, ""), "") &amp; " " &amp; _xlfn.IFNA(IF(AND(OR(G4="X",H4="X"), OR(VLOOKUP(D4, 'Selection Lists'!$A$4:$B$17, 2, FALSE)&lt;0.75, INT(F4)&gt;45)), $Q$7, ""), "")</f>
        <v xml:space="preserve">  </v>
      </c>
      <c r="Q4" s="122" t="s">
        <v>86</v>
      </c>
      <c r="R4" s="123"/>
      <c r="S4" s="124" t="s">
        <v>87</v>
      </c>
      <c r="T4" s="125"/>
      <c r="U4" s="125"/>
      <c r="V4" s="125"/>
      <c r="W4" s="125"/>
      <c r="X4" s="125"/>
      <c r="Y4" s="125"/>
      <c r="Z4" s="125"/>
      <c r="AA4" s="125"/>
      <c r="AB4" s="125"/>
    </row>
    <row r="5" spans="1:28" x14ac:dyDescent="0.2">
      <c r="A5" s="155"/>
      <c r="B5" s="156" t="s">
        <v>73</v>
      </c>
      <c r="C5" s="26"/>
      <c r="D5" s="27"/>
      <c r="E5" s="26"/>
      <c r="F5" s="28"/>
      <c r="G5" s="46"/>
      <c r="H5" s="29"/>
      <c r="I5" s="29"/>
      <c r="J5" s="29"/>
      <c r="K5" s="29"/>
      <c r="L5" s="176" t="str">
        <f t="shared" ref="L5:L68" si="1">IFERROR((F5/D5)*(1+IF(G5="X", 0.75, 0) +IF(H5="X", 0.5, 0) + IF(I5="X", 0.25, 0) +IF(F5&gt;45, 0.125, 0)), "")</f>
        <v/>
      </c>
      <c r="M5" s="177" t="str">
        <f t="shared" si="0"/>
        <v/>
      </c>
      <c r="N5" s="175" t="str">
        <f>_xlfn.IFNA(IF(OR(L5&gt;50, OR(OR(VLOOKUP(D5,'Selection Lists'!$A$4:$B$17, 2, FALSE)&lt;3/8, VLOOKUP(D5, 'Selection Lists'!$A$4:$B$17, 2, FALSE)&gt;2)), OR(INT(F5)&lt;10, INT(F5)&gt;55)), $Q$5, ""), "") &amp; " " &amp; _xlfn.IFNA(IF(AND(VLOOKUP(D5, 'Selection Lists'!$A$4:$B$17, 2, FALSE)&lt;1.5, INT(F5)&gt;45), $Q$6, ""), "") &amp; " " &amp; _xlfn.IFNA(IF(AND(OR(G5="X",H5="X"), OR(VLOOKUP(D5, 'Selection Lists'!$A$4:$B$17, 2, FALSE)&lt;0.75, INT(F5)&gt;45)), $Q$7, ""), "")</f>
        <v xml:space="preserve">  </v>
      </c>
      <c r="Q5" s="131" t="s">
        <v>88</v>
      </c>
      <c r="R5" s="132"/>
      <c r="S5" s="133" t="s">
        <v>89</v>
      </c>
      <c r="T5" s="134"/>
      <c r="U5" s="134"/>
      <c r="V5" s="134"/>
      <c r="W5" s="134"/>
      <c r="X5" s="134"/>
      <c r="Y5" s="134"/>
      <c r="Z5" s="134"/>
      <c r="AA5" s="134"/>
      <c r="AB5" s="134"/>
    </row>
    <row r="6" spans="1:28" ht="13.5" thickBot="1" x14ac:dyDescent="0.25">
      <c r="A6" s="157"/>
      <c r="B6" s="158" t="s">
        <v>14</v>
      </c>
      <c r="C6" s="35"/>
      <c r="D6" s="36"/>
      <c r="E6" s="35"/>
      <c r="F6" s="37"/>
      <c r="G6" s="47"/>
      <c r="H6" s="38"/>
      <c r="I6" s="38"/>
      <c r="J6" s="38"/>
      <c r="K6" s="38"/>
      <c r="L6" s="178" t="str">
        <f t="shared" si="1"/>
        <v/>
      </c>
      <c r="M6" s="179" t="str">
        <f t="shared" si="0"/>
        <v/>
      </c>
      <c r="N6" s="175" t="str">
        <f>_xlfn.IFNA(IF(OR(L6&gt;50, OR(OR(VLOOKUP(D6,'Selection Lists'!$A$4:$B$17, 2, FALSE)&lt;3/8, VLOOKUP(D6, 'Selection Lists'!$A$4:$B$17, 2, FALSE)&gt;2)), OR(INT(F6)&lt;10, INT(F6)&gt;55)), $Q$5, ""), "") &amp; " " &amp; _xlfn.IFNA(IF(AND(VLOOKUP(D6, 'Selection Lists'!$A$4:$B$17, 2, FALSE)&lt;1.5, INT(F6)&gt;45), $Q$6, ""), "") &amp; " " &amp; _xlfn.IFNA(IF(AND(OR(G6="X",H6="X"), OR(VLOOKUP(D6, 'Selection Lists'!$A$4:$B$17, 2, FALSE)&lt;0.75, INT(F6)&gt;45)), $Q$7, ""), "")</f>
        <v xml:space="preserve">  </v>
      </c>
      <c r="Q6" s="131" t="s">
        <v>90</v>
      </c>
      <c r="R6" s="132"/>
      <c r="S6" s="133" t="s">
        <v>91</v>
      </c>
      <c r="T6" s="134"/>
      <c r="U6" s="134"/>
      <c r="V6" s="134"/>
      <c r="W6" s="134"/>
      <c r="X6" s="134"/>
      <c r="Y6" s="134"/>
      <c r="Z6" s="134"/>
      <c r="AA6" s="134"/>
      <c r="AB6" s="134"/>
    </row>
    <row r="7" spans="1:28" x14ac:dyDescent="0.2">
      <c r="A7" s="153">
        <v>2</v>
      </c>
      <c r="B7" s="154" t="s">
        <v>12</v>
      </c>
      <c r="C7" s="30"/>
      <c r="D7" s="31"/>
      <c r="E7" s="32"/>
      <c r="F7" s="33"/>
      <c r="G7" s="45"/>
      <c r="H7" s="34"/>
      <c r="I7" s="34"/>
      <c r="J7" s="34"/>
      <c r="K7" s="34"/>
      <c r="L7" s="173" t="str">
        <f t="shared" si="1"/>
        <v/>
      </c>
      <c r="M7" s="174" t="str">
        <f t="shared" si="0"/>
        <v/>
      </c>
      <c r="N7" s="175" t="str">
        <f>_xlfn.IFNA(IF(OR(L7&gt;50, OR(OR(VLOOKUP(D7,'Selection Lists'!$A$4:$B$17, 2, FALSE)&lt;3/8, VLOOKUP(D7, 'Selection Lists'!$A$4:$B$17, 2, FALSE)&gt;2)), OR(INT(F7)&lt;10, INT(F7)&gt;55)), $Q$5, ""), "") &amp; " " &amp; _xlfn.IFNA(IF(AND(VLOOKUP(D7, 'Selection Lists'!$A$4:$B$17, 2, FALSE)&lt;1.5, INT(F7)&gt;45), $Q$6, ""), "") &amp; " " &amp; _xlfn.IFNA(IF(AND(OR(G7="X",H7="X"), OR(VLOOKUP(D7, 'Selection Lists'!$A$4:$B$17, 2, FALSE)&lt;0.75, INT(F7)&gt;45)), $Q$7, ""), "")</f>
        <v xml:space="preserve">  </v>
      </c>
      <c r="Q7" s="131" t="s">
        <v>92</v>
      </c>
      <c r="R7" s="132"/>
      <c r="S7" s="133" t="s">
        <v>93</v>
      </c>
      <c r="T7" s="134"/>
      <c r="U7" s="134"/>
      <c r="V7" s="134"/>
      <c r="W7" s="134"/>
      <c r="X7" s="134"/>
      <c r="Y7" s="134"/>
      <c r="Z7" s="134"/>
      <c r="AA7" s="134"/>
      <c r="AB7" s="134"/>
    </row>
    <row r="8" spans="1:28" x14ac:dyDescent="0.2">
      <c r="A8" s="155"/>
      <c r="B8" s="156" t="s">
        <v>13</v>
      </c>
      <c r="C8" s="26"/>
      <c r="D8" s="27"/>
      <c r="E8" s="26"/>
      <c r="F8" s="28"/>
      <c r="G8" s="46"/>
      <c r="H8" s="29"/>
      <c r="I8" s="29"/>
      <c r="J8" s="29"/>
      <c r="K8" s="29"/>
      <c r="L8" s="176" t="str">
        <f t="shared" si="1"/>
        <v/>
      </c>
      <c r="M8" s="177" t="str">
        <f t="shared" si="0"/>
        <v/>
      </c>
      <c r="N8" s="175" t="str">
        <f>_xlfn.IFNA(IF(OR(L8&gt;50, OR(OR(VLOOKUP(D8,'Selection Lists'!$A$4:$B$17, 2, FALSE)&lt;3/8, VLOOKUP(D8, 'Selection Lists'!$A$4:$B$17, 2, FALSE)&gt;2)), OR(INT(F8)&lt;10, INT(F8)&gt;55)), $Q$5, ""), "") &amp; " " &amp; _xlfn.IFNA(IF(AND(VLOOKUP(D8, 'Selection Lists'!$A$4:$B$17, 2, FALSE)&lt;1.5, INT(F8)&gt;45), $Q$6, ""), "") &amp; " " &amp; _xlfn.IFNA(IF(AND(OR(G8="X",H8="X"), OR(VLOOKUP(D8, 'Selection Lists'!$A$4:$B$17, 2, FALSE)&lt;0.75, INT(F8)&gt;45)), $Q$7, ""), "")</f>
        <v xml:space="preserve">  </v>
      </c>
      <c r="Q8" s="131" t="s">
        <v>94</v>
      </c>
      <c r="R8" s="132"/>
      <c r="S8" s="133" t="s">
        <v>95</v>
      </c>
      <c r="T8" s="134"/>
      <c r="U8" s="134"/>
      <c r="V8" s="134"/>
      <c r="W8" s="134"/>
      <c r="X8" s="134"/>
      <c r="Y8" s="134"/>
      <c r="Z8" s="134"/>
      <c r="AA8" s="134"/>
      <c r="AB8" s="134"/>
    </row>
    <row r="9" spans="1:28" ht="13.5" thickBot="1" x14ac:dyDescent="0.25">
      <c r="A9" s="157"/>
      <c r="B9" s="158" t="s">
        <v>14</v>
      </c>
      <c r="C9" s="35"/>
      <c r="D9" s="36"/>
      <c r="E9" s="35"/>
      <c r="F9" s="37"/>
      <c r="G9" s="47"/>
      <c r="H9" s="38"/>
      <c r="I9" s="38"/>
      <c r="J9" s="38"/>
      <c r="K9" s="38"/>
      <c r="L9" s="178" t="str">
        <f t="shared" si="1"/>
        <v/>
      </c>
      <c r="M9" s="179" t="str">
        <f t="shared" si="0"/>
        <v/>
      </c>
      <c r="N9" s="175" t="str">
        <f>_xlfn.IFNA(IF(OR(L9&gt;50, OR(OR(VLOOKUP(D9,'Selection Lists'!$A$4:$B$17, 2, FALSE)&lt;3/8, VLOOKUP(D9, 'Selection Lists'!$A$4:$B$17, 2, FALSE)&gt;2)), OR(INT(F9)&lt;10, INT(F9)&gt;55)), $Q$5, ""), "") &amp; " " &amp; _xlfn.IFNA(IF(AND(VLOOKUP(D9, 'Selection Lists'!$A$4:$B$17, 2, FALSE)&lt;1.5, INT(F9)&gt;45), $Q$6, ""), "") &amp; " " &amp; _xlfn.IFNA(IF(AND(OR(G9="X",H9="X"), OR(VLOOKUP(D9, 'Selection Lists'!$A$4:$B$17, 2, FALSE)&lt;0.75, INT(F9)&gt;45)), $Q$7, ""), "")</f>
        <v xml:space="preserve">  </v>
      </c>
      <c r="Q9" s="131" t="s">
        <v>96</v>
      </c>
      <c r="R9" s="132"/>
      <c r="S9" s="133" t="s">
        <v>97</v>
      </c>
      <c r="T9" s="134"/>
      <c r="U9" s="134"/>
      <c r="V9" s="134"/>
      <c r="W9" s="134"/>
      <c r="X9" s="134"/>
      <c r="Y9" s="134"/>
      <c r="Z9" s="134"/>
      <c r="AA9" s="134"/>
      <c r="AB9" s="134"/>
    </row>
    <row r="10" spans="1:28" x14ac:dyDescent="0.2">
      <c r="A10" s="153">
        <v>3</v>
      </c>
      <c r="B10" s="154" t="s">
        <v>12</v>
      </c>
      <c r="C10" s="30"/>
      <c r="D10" s="31"/>
      <c r="E10" s="32"/>
      <c r="F10" s="33"/>
      <c r="G10" s="45"/>
      <c r="H10" s="34"/>
      <c r="I10" s="34"/>
      <c r="J10" s="34"/>
      <c r="K10" s="34"/>
      <c r="L10" s="173" t="str">
        <f t="shared" si="1"/>
        <v/>
      </c>
      <c r="M10" s="174" t="str">
        <f t="shared" si="0"/>
        <v/>
      </c>
      <c r="N10" s="175" t="str">
        <f>_xlfn.IFNA(IF(OR(L10&gt;50, OR(OR(VLOOKUP(D10,'Selection Lists'!$A$4:$B$17, 2, FALSE)&lt;3/8, VLOOKUP(D10, 'Selection Lists'!$A$4:$B$17, 2, FALSE)&gt;2)), OR(INT(F10)&lt;10, INT(F10)&gt;55)), $Q$5, ""), "") &amp; " " &amp; _xlfn.IFNA(IF(AND(VLOOKUP(D10, 'Selection Lists'!$A$4:$B$17, 2, FALSE)&lt;1.5, INT(F10)&gt;45), $Q$6, ""), "") &amp; " " &amp; _xlfn.IFNA(IF(AND(OR(G10="X",H10="X"), OR(VLOOKUP(D10, 'Selection Lists'!$A$4:$B$17, 2, FALSE)&lt;0.75, INT(F10)&gt;45)), $Q$7, ""), "")</f>
        <v xml:space="preserve">  </v>
      </c>
      <c r="Q10" s="131" t="s">
        <v>98</v>
      </c>
      <c r="R10" s="132"/>
      <c r="S10" s="133" t="s">
        <v>99</v>
      </c>
      <c r="T10" s="134"/>
      <c r="U10" s="134"/>
      <c r="V10" s="134"/>
      <c r="W10" s="134"/>
      <c r="X10" s="134"/>
      <c r="Y10" s="134"/>
      <c r="Z10" s="134"/>
      <c r="AA10" s="134"/>
      <c r="AB10" s="134"/>
    </row>
    <row r="11" spans="1:28" x14ac:dyDescent="0.2">
      <c r="A11" s="155"/>
      <c r="B11" s="156" t="s">
        <v>13</v>
      </c>
      <c r="C11" s="26"/>
      <c r="D11" s="27"/>
      <c r="E11" s="26"/>
      <c r="F11" s="28"/>
      <c r="G11" s="46"/>
      <c r="H11" s="29"/>
      <c r="I11" s="29"/>
      <c r="J11" s="29"/>
      <c r="K11" s="29"/>
      <c r="L11" s="176" t="str">
        <f t="shared" si="1"/>
        <v/>
      </c>
      <c r="M11" s="177" t="str">
        <f t="shared" si="0"/>
        <v/>
      </c>
      <c r="N11" s="175" t="str">
        <f>_xlfn.IFNA(IF(OR(L11&gt;50, OR(OR(VLOOKUP(D11,'Selection Lists'!$A$4:$B$17, 2, FALSE)&lt;3/8, VLOOKUP(D11, 'Selection Lists'!$A$4:$B$17, 2, FALSE)&gt;2)), OR(INT(F11)&lt;10, INT(F11)&gt;55)), $Q$5, ""), "") &amp; " " &amp; _xlfn.IFNA(IF(AND(VLOOKUP(D11, 'Selection Lists'!$A$4:$B$17, 2, FALSE)&lt;1.5, INT(F11)&gt;45), $Q$6, ""), "") &amp; " " &amp; _xlfn.IFNA(IF(AND(OR(G11="X",H11="X"), OR(VLOOKUP(D11, 'Selection Lists'!$A$4:$B$17, 2, FALSE)&lt;0.75, INT(F11)&gt;45)), $Q$7, ""), "")</f>
        <v xml:space="preserve">  </v>
      </c>
      <c r="Q11" s="131" t="s">
        <v>113</v>
      </c>
      <c r="R11" s="132"/>
      <c r="S11" s="133" t="s">
        <v>111</v>
      </c>
      <c r="T11" s="134"/>
      <c r="U11" s="134"/>
      <c r="V11" s="134"/>
      <c r="W11" s="134"/>
      <c r="X11" s="134"/>
      <c r="Y11" s="134"/>
      <c r="Z11" s="134"/>
      <c r="AA11" s="134"/>
      <c r="AB11" s="134"/>
    </row>
    <row r="12" spans="1:28" ht="13.5" thickBot="1" x14ac:dyDescent="0.25">
      <c r="A12" s="157"/>
      <c r="B12" s="158" t="s">
        <v>14</v>
      </c>
      <c r="C12" s="35"/>
      <c r="D12" s="36"/>
      <c r="E12" s="35"/>
      <c r="F12" s="37"/>
      <c r="G12" s="47"/>
      <c r="H12" s="38"/>
      <c r="I12" s="38"/>
      <c r="J12" s="38"/>
      <c r="K12" s="38"/>
      <c r="L12" s="178" t="str">
        <f t="shared" si="1"/>
        <v/>
      </c>
      <c r="M12" s="179" t="str">
        <f t="shared" si="0"/>
        <v/>
      </c>
      <c r="N12" s="175" t="str">
        <f>_xlfn.IFNA(IF(OR(L12&gt;50, OR(OR(VLOOKUP(D12,'Selection Lists'!$A$4:$B$17, 2, FALSE)&lt;3/8, VLOOKUP(D12, 'Selection Lists'!$A$4:$B$17, 2, FALSE)&gt;2)), OR(INT(F12)&lt;10, INT(F12)&gt;55)), $Q$5, ""), "") &amp; " " &amp; _xlfn.IFNA(IF(AND(VLOOKUP(D12, 'Selection Lists'!$A$4:$B$17, 2, FALSE)&lt;1.5, INT(F12)&gt;45), $Q$6, ""), "") &amp; " " &amp; _xlfn.IFNA(IF(AND(OR(G12="X",H12="X"), OR(VLOOKUP(D12, 'Selection Lists'!$A$4:$B$17, 2, FALSE)&lt;0.75, INT(F12)&gt;45)), $Q$7, ""), "")</f>
        <v xml:space="preserve">  </v>
      </c>
    </row>
    <row r="13" spans="1:28" x14ac:dyDescent="0.2">
      <c r="A13" s="153">
        <v>4</v>
      </c>
      <c r="B13" s="154" t="s">
        <v>12</v>
      </c>
      <c r="C13" s="30"/>
      <c r="D13" s="31"/>
      <c r="E13" s="32"/>
      <c r="F13" s="33"/>
      <c r="G13" s="45"/>
      <c r="H13" s="34"/>
      <c r="I13" s="34"/>
      <c r="J13" s="34"/>
      <c r="K13" s="34"/>
      <c r="L13" s="173" t="str">
        <f t="shared" si="1"/>
        <v/>
      </c>
      <c r="M13" s="174" t="str">
        <f t="shared" si="0"/>
        <v/>
      </c>
      <c r="N13" s="175" t="str">
        <f>_xlfn.IFNA(IF(OR(L13&gt;50, OR(OR(VLOOKUP(D13,'Selection Lists'!$A$4:$B$17, 2, FALSE)&lt;3/8, VLOOKUP(D13, 'Selection Lists'!$A$4:$B$17, 2, FALSE)&gt;2)), OR(INT(F13)&lt;10, INT(F13)&gt;55)), $Q$5, ""), "") &amp; " " &amp; _xlfn.IFNA(IF(AND(VLOOKUP(D13, 'Selection Lists'!$A$4:$B$17, 2, FALSE)&lt;1.5, INT(F13)&gt;45), $Q$6, ""), "") &amp; " " &amp; _xlfn.IFNA(IF(AND(OR(G13="X",H13="X"), OR(VLOOKUP(D13, 'Selection Lists'!$A$4:$B$17, 2, FALSE)&lt;0.75, INT(F13)&gt;45)), $Q$7, ""), "")</f>
        <v xml:space="preserve">  </v>
      </c>
    </row>
    <row r="14" spans="1:28" x14ac:dyDescent="0.2">
      <c r="A14" s="155"/>
      <c r="B14" s="156" t="s">
        <v>13</v>
      </c>
      <c r="C14" s="26"/>
      <c r="D14" s="27"/>
      <c r="E14" s="26"/>
      <c r="F14" s="28"/>
      <c r="G14" s="46"/>
      <c r="H14" s="29"/>
      <c r="I14" s="29"/>
      <c r="J14" s="29"/>
      <c r="K14" s="29"/>
      <c r="L14" s="176" t="str">
        <f t="shared" si="1"/>
        <v/>
      </c>
      <c r="M14" s="177" t="str">
        <f t="shared" si="0"/>
        <v/>
      </c>
      <c r="N14" s="175" t="str">
        <f>_xlfn.IFNA(IF(OR(L14&gt;50, OR(OR(VLOOKUP(D14,'Selection Lists'!$A$4:$B$17, 2, FALSE)&lt;3/8, VLOOKUP(D14, 'Selection Lists'!$A$4:$B$17, 2, FALSE)&gt;2)), OR(INT(F14)&lt;10, INT(F14)&gt;55)), $Q$5, ""), "") &amp; " " &amp; _xlfn.IFNA(IF(AND(VLOOKUP(D14, 'Selection Lists'!$A$4:$B$17, 2, FALSE)&lt;1.5, INT(F14)&gt;45), $Q$6, ""), "") &amp; " " &amp; _xlfn.IFNA(IF(AND(OR(G14="X",H14="X"), OR(VLOOKUP(D14, 'Selection Lists'!$A$4:$B$17, 2, FALSE)&lt;0.75, INT(F14)&gt;45)), $Q$7, ""), "")</f>
        <v xml:space="preserve">  </v>
      </c>
    </row>
    <row r="15" spans="1:28" ht="13.5" thickBot="1" x14ac:dyDescent="0.25">
      <c r="A15" s="157"/>
      <c r="B15" s="158" t="s">
        <v>14</v>
      </c>
      <c r="C15" s="35"/>
      <c r="D15" s="36"/>
      <c r="E15" s="35"/>
      <c r="F15" s="37"/>
      <c r="G15" s="47"/>
      <c r="H15" s="38"/>
      <c r="I15" s="38"/>
      <c r="J15" s="38"/>
      <c r="K15" s="38"/>
      <c r="L15" s="178" t="str">
        <f t="shared" si="1"/>
        <v/>
      </c>
      <c r="M15" s="179" t="str">
        <f t="shared" si="0"/>
        <v/>
      </c>
      <c r="N15" s="175" t="str">
        <f>_xlfn.IFNA(IF(OR(L15&gt;50, OR(OR(VLOOKUP(D15,'Selection Lists'!$A$4:$B$17, 2, FALSE)&lt;3/8, VLOOKUP(D15, 'Selection Lists'!$A$4:$B$17, 2, FALSE)&gt;2)), OR(INT(F15)&lt;10, INT(F15)&gt;55)), $Q$5, ""), "") &amp; " " &amp; _xlfn.IFNA(IF(AND(VLOOKUP(D15, 'Selection Lists'!$A$4:$B$17, 2, FALSE)&lt;1.5, INT(F15)&gt;45), $Q$6, ""), "") &amp; " " &amp; _xlfn.IFNA(IF(AND(OR(G15="X",H15="X"), OR(VLOOKUP(D15, 'Selection Lists'!$A$4:$B$17, 2, FALSE)&lt;0.75, INT(F15)&gt;45)), $Q$7, ""), "")</f>
        <v xml:space="preserve">  </v>
      </c>
    </row>
    <row r="16" spans="1:28" x14ac:dyDescent="0.2">
      <c r="A16" s="153">
        <v>5</v>
      </c>
      <c r="B16" s="154" t="s">
        <v>12</v>
      </c>
      <c r="C16" s="30"/>
      <c r="D16" s="31"/>
      <c r="E16" s="32"/>
      <c r="F16" s="33"/>
      <c r="G16" s="45"/>
      <c r="H16" s="34"/>
      <c r="I16" s="34"/>
      <c r="J16" s="34"/>
      <c r="K16" s="34"/>
      <c r="L16" s="173" t="str">
        <f t="shared" si="1"/>
        <v/>
      </c>
      <c r="M16" s="174" t="str">
        <f t="shared" si="0"/>
        <v/>
      </c>
      <c r="N16" s="175" t="str">
        <f>_xlfn.IFNA(IF(OR(L16&gt;50, OR(OR(VLOOKUP(D16,'Selection Lists'!$A$4:$B$17, 2, FALSE)&lt;3/8, VLOOKUP(D16, 'Selection Lists'!$A$4:$B$17, 2, FALSE)&gt;2)), OR(INT(F16)&lt;10, INT(F16)&gt;55)), $Q$5, ""), "") &amp; " " &amp; _xlfn.IFNA(IF(AND(VLOOKUP(D16, 'Selection Lists'!$A$4:$B$17, 2, FALSE)&lt;1.5, INT(F16)&gt;45), $Q$6, ""), "") &amp; " " &amp; _xlfn.IFNA(IF(AND(OR(G16="X",H16="X"), OR(VLOOKUP(D16, 'Selection Lists'!$A$4:$B$17, 2, FALSE)&lt;0.75, INT(F16)&gt;45)), $Q$7, ""), "")</f>
        <v xml:space="preserve">  </v>
      </c>
    </row>
    <row r="17" spans="1:16" x14ac:dyDescent="0.2">
      <c r="A17" s="155"/>
      <c r="B17" s="156" t="s">
        <v>13</v>
      </c>
      <c r="C17" s="26"/>
      <c r="D17" s="27"/>
      <c r="E17" s="26"/>
      <c r="F17" s="28"/>
      <c r="G17" s="46"/>
      <c r="H17" s="29"/>
      <c r="I17" s="29"/>
      <c r="J17" s="29"/>
      <c r="K17" s="29"/>
      <c r="L17" s="176" t="str">
        <f t="shared" si="1"/>
        <v/>
      </c>
      <c r="M17" s="177" t="str">
        <f t="shared" si="0"/>
        <v/>
      </c>
      <c r="N17" s="175" t="str">
        <f>_xlfn.IFNA(IF(OR(L17&gt;50, OR(OR(VLOOKUP(D17,'Selection Lists'!$A$4:$B$17, 2, FALSE)&lt;3/8, VLOOKUP(D17, 'Selection Lists'!$A$4:$B$17, 2, FALSE)&gt;2)), OR(INT(F17)&lt;10, INT(F17)&gt;55)), $Q$5, ""), "") &amp; " " &amp; _xlfn.IFNA(IF(AND(VLOOKUP(D17, 'Selection Lists'!$A$4:$B$17, 2, FALSE)&lt;1.5, INT(F17)&gt;45), $Q$6, ""), "") &amp; " " &amp; _xlfn.IFNA(IF(AND(OR(G17="X",H17="X"), OR(VLOOKUP(D17, 'Selection Lists'!$A$4:$B$17, 2, FALSE)&lt;0.75, INT(F17)&gt;45)), $Q$7, ""), "")</f>
        <v xml:space="preserve">  </v>
      </c>
    </row>
    <row r="18" spans="1:16" ht="13.5" thickBot="1" x14ac:dyDescent="0.25">
      <c r="A18" s="157"/>
      <c r="B18" s="158" t="s">
        <v>14</v>
      </c>
      <c r="C18" s="35"/>
      <c r="D18" s="36"/>
      <c r="E18" s="35"/>
      <c r="F18" s="37"/>
      <c r="G18" s="47"/>
      <c r="H18" s="38"/>
      <c r="I18" s="38"/>
      <c r="J18" s="38"/>
      <c r="K18" s="38"/>
      <c r="L18" s="178" t="str">
        <f t="shared" si="1"/>
        <v/>
      </c>
      <c r="M18" s="179" t="str">
        <f t="shared" si="0"/>
        <v/>
      </c>
      <c r="N18" s="175" t="str">
        <f>_xlfn.IFNA(IF(OR(L18&gt;50, OR(OR(VLOOKUP(D18,'Selection Lists'!$A$4:$B$17, 2, FALSE)&lt;3/8, VLOOKUP(D18, 'Selection Lists'!$A$4:$B$17, 2, FALSE)&gt;2)), OR(INT(F18)&lt;10, INT(F18)&gt;55)), $Q$5, ""), "") &amp; " " &amp; _xlfn.IFNA(IF(AND(VLOOKUP(D18, 'Selection Lists'!$A$4:$B$17, 2, FALSE)&lt;1.5, INT(F18)&gt;45), $Q$6, ""), "") &amp; " " &amp; _xlfn.IFNA(IF(AND(OR(G18="X",H18="X"), OR(VLOOKUP(D18, 'Selection Lists'!$A$4:$B$17, 2, FALSE)&lt;0.75, INT(F18)&gt;45)), $Q$7, ""), "")</f>
        <v xml:space="preserve">  </v>
      </c>
    </row>
    <row r="19" spans="1:16" x14ac:dyDescent="0.2">
      <c r="A19" s="153">
        <v>6</v>
      </c>
      <c r="B19" s="154" t="s">
        <v>12</v>
      </c>
      <c r="C19" s="30"/>
      <c r="D19" s="31"/>
      <c r="E19" s="32"/>
      <c r="F19" s="33"/>
      <c r="G19" s="45"/>
      <c r="H19" s="34"/>
      <c r="I19" s="34"/>
      <c r="J19" s="34"/>
      <c r="K19" s="34"/>
      <c r="L19" s="173" t="str">
        <f t="shared" si="1"/>
        <v/>
      </c>
      <c r="M19" s="174" t="str">
        <f t="shared" si="0"/>
        <v/>
      </c>
      <c r="N19" s="175" t="str">
        <f>_xlfn.IFNA(IF(OR(L19&gt;50, OR(OR(VLOOKUP(D19,'Selection Lists'!$A$4:$B$17, 2, FALSE)&lt;3/8, VLOOKUP(D19, 'Selection Lists'!$A$4:$B$17, 2, FALSE)&gt;2)), OR(INT(F19)&lt;10, INT(F19)&gt;55)), $Q$5, ""), "") &amp; " " &amp; _xlfn.IFNA(IF(AND(VLOOKUP(D19, 'Selection Lists'!$A$4:$B$17, 2, FALSE)&lt;1.5, INT(F19)&gt;45), $Q$6, ""), "") &amp; " " &amp; _xlfn.IFNA(IF(AND(OR(G19="X",H19="X"), OR(VLOOKUP(D19, 'Selection Lists'!$A$4:$B$17, 2, FALSE)&lt;0.75, INT(F19)&gt;45)), $Q$7, ""), "")</f>
        <v xml:space="preserve">  </v>
      </c>
    </row>
    <row r="20" spans="1:16" x14ac:dyDescent="0.2">
      <c r="A20" s="155"/>
      <c r="B20" s="156" t="s">
        <v>13</v>
      </c>
      <c r="C20" s="26"/>
      <c r="D20" s="27"/>
      <c r="E20" s="26"/>
      <c r="F20" s="28"/>
      <c r="G20" s="46"/>
      <c r="H20" s="29"/>
      <c r="I20" s="29"/>
      <c r="J20" s="29"/>
      <c r="K20" s="29"/>
      <c r="L20" s="176" t="str">
        <f t="shared" si="1"/>
        <v/>
      </c>
      <c r="M20" s="177" t="str">
        <f t="shared" si="0"/>
        <v/>
      </c>
      <c r="N20" s="175" t="str">
        <f>_xlfn.IFNA(IF(OR(L20&gt;50, OR(OR(VLOOKUP(D20,'Selection Lists'!$A$4:$B$17, 2, FALSE)&lt;3/8, VLOOKUP(D20, 'Selection Lists'!$A$4:$B$17, 2, FALSE)&gt;2)), OR(INT(F20)&lt;10, INT(F20)&gt;55)), $Q$5, ""), "") &amp; " " &amp; _xlfn.IFNA(IF(AND(VLOOKUP(D20, 'Selection Lists'!$A$4:$B$17, 2, FALSE)&lt;1.5, INT(F20)&gt;45), $Q$6, ""), "") &amp; " " &amp; _xlfn.IFNA(IF(AND(OR(G20="X",H20="X"), OR(VLOOKUP(D20, 'Selection Lists'!$A$4:$B$17, 2, FALSE)&lt;0.75, INT(F20)&gt;45)), $Q$7, ""), "")</f>
        <v xml:space="preserve">  </v>
      </c>
    </row>
    <row r="21" spans="1:16" ht="13.5" thickBot="1" x14ac:dyDescent="0.25">
      <c r="A21" s="157"/>
      <c r="B21" s="158" t="s">
        <v>14</v>
      </c>
      <c r="C21" s="35"/>
      <c r="D21" s="36"/>
      <c r="E21" s="35"/>
      <c r="F21" s="37"/>
      <c r="G21" s="47"/>
      <c r="H21" s="38"/>
      <c r="I21" s="38"/>
      <c r="J21" s="38"/>
      <c r="K21" s="38"/>
      <c r="L21" s="178" t="str">
        <f t="shared" si="1"/>
        <v/>
      </c>
      <c r="M21" s="179" t="str">
        <f t="shared" si="0"/>
        <v/>
      </c>
      <c r="N21" s="175" t="str">
        <f>_xlfn.IFNA(IF(OR(L21&gt;50, OR(OR(VLOOKUP(D21,'Selection Lists'!$A$4:$B$17, 2, FALSE)&lt;3/8, VLOOKUP(D21, 'Selection Lists'!$A$4:$B$17, 2, FALSE)&gt;2)), OR(INT(F21)&lt;10, INT(F21)&gt;55)), $Q$5, ""), "") &amp; " " &amp; _xlfn.IFNA(IF(AND(VLOOKUP(D21, 'Selection Lists'!$A$4:$B$17, 2, FALSE)&lt;1.5, INT(F21)&gt;45), $Q$6, ""), "") &amp; " " &amp; _xlfn.IFNA(IF(AND(OR(G21="X",H21="X"), OR(VLOOKUP(D21, 'Selection Lists'!$A$4:$B$17, 2, FALSE)&lt;0.75, INT(F21)&gt;45)), $Q$7, ""), "")</f>
        <v xml:space="preserve">  </v>
      </c>
      <c r="P21" s="180"/>
    </row>
    <row r="22" spans="1:16" x14ac:dyDescent="0.2">
      <c r="A22" s="153">
        <v>7</v>
      </c>
      <c r="B22" s="154" t="s">
        <v>12</v>
      </c>
      <c r="C22" s="30"/>
      <c r="D22" s="31"/>
      <c r="E22" s="32"/>
      <c r="F22" s="33"/>
      <c r="G22" s="45"/>
      <c r="H22" s="34"/>
      <c r="I22" s="34"/>
      <c r="J22" s="34"/>
      <c r="K22" s="34"/>
      <c r="L22" s="173" t="str">
        <f t="shared" si="1"/>
        <v/>
      </c>
      <c r="M22" s="174" t="str">
        <f t="shared" si="0"/>
        <v/>
      </c>
      <c r="N22" s="175" t="str">
        <f>_xlfn.IFNA(IF(OR(L22&gt;50, OR(OR(VLOOKUP(D22,'Selection Lists'!$A$4:$B$17, 2, FALSE)&lt;3/8, VLOOKUP(D22, 'Selection Lists'!$A$4:$B$17, 2, FALSE)&gt;2)), OR(INT(F22)&lt;10, INT(F22)&gt;55)), $Q$5, ""), "") &amp; " " &amp; _xlfn.IFNA(IF(AND(VLOOKUP(D22, 'Selection Lists'!$A$4:$B$17, 2, FALSE)&lt;1.5, INT(F22)&gt;45), $Q$6, ""), "") &amp; " " &amp; _xlfn.IFNA(IF(AND(OR(G22="X",H22="X"), OR(VLOOKUP(D22, 'Selection Lists'!$A$4:$B$17, 2, FALSE)&lt;0.75, INT(F22)&gt;45)), $Q$7, ""), "")</f>
        <v xml:space="preserve">  </v>
      </c>
    </row>
    <row r="23" spans="1:16" x14ac:dyDescent="0.2">
      <c r="A23" s="155"/>
      <c r="B23" s="156" t="s">
        <v>13</v>
      </c>
      <c r="C23" s="26"/>
      <c r="D23" s="27"/>
      <c r="E23" s="26"/>
      <c r="F23" s="28"/>
      <c r="G23" s="46"/>
      <c r="H23" s="29"/>
      <c r="I23" s="29"/>
      <c r="J23" s="29"/>
      <c r="K23" s="29"/>
      <c r="L23" s="176" t="str">
        <f t="shared" si="1"/>
        <v/>
      </c>
      <c r="M23" s="177" t="str">
        <f t="shared" si="0"/>
        <v/>
      </c>
      <c r="N23" s="175" t="str">
        <f>_xlfn.IFNA(IF(OR(L23&gt;50, OR(OR(VLOOKUP(D23,'Selection Lists'!$A$4:$B$17, 2, FALSE)&lt;3/8, VLOOKUP(D23, 'Selection Lists'!$A$4:$B$17, 2, FALSE)&gt;2)), OR(INT(F23)&lt;10, INT(F23)&gt;55)), $Q$5, ""), "") &amp; " " &amp; _xlfn.IFNA(IF(AND(VLOOKUP(D23, 'Selection Lists'!$A$4:$B$17, 2, FALSE)&lt;1.5, INT(F23)&gt;45), $Q$6, ""), "") &amp; " " &amp; _xlfn.IFNA(IF(AND(OR(G23="X",H23="X"), OR(VLOOKUP(D23, 'Selection Lists'!$A$4:$B$17, 2, FALSE)&lt;0.75, INT(F23)&gt;45)), $Q$7, ""), "")</f>
        <v xml:space="preserve">  </v>
      </c>
      <c r="O23" s="180"/>
      <c r="P23" s="180"/>
    </row>
    <row r="24" spans="1:16" ht="13.5" thickBot="1" x14ac:dyDescent="0.25">
      <c r="A24" s="157"/>
      <c r="B24" s="158" t="s">
        <v>14</v>
      </c>
      <c r="C24" s="35"/>
      <c r="D24" s="36"/>
      <c r="E24" s="35"/>
      <c r="F24" s="37"/>
      <c r="G24" s="47"/>
      <c r="H24" s="38"/>
      <c r="I24" s="38"/>
      <c r="J24" s="38"/>
      <c r="K24" s="38"/>
      <c r="L24" s="178" t="str">
        <f t="shared" si="1"/>
        <v/>
      </c>
      <c r="M24" s="179" t="str">
        <f t="shared" si="0"/>
        <v/>
      </c>
      <c r="N24" s="175" t="str">
        <f>_xlfn.IFNA(IF(OR(L24&gt;50, OR(OR(VLOOKUP(D24,'Selection Lists'!$A$4:$B$17, 2, FALSE)&lt;3/8, VLOOKUP(D24, 'Selection Lists'!$A$4:$B$17, 2, FALSE)&gt;2)), OR(INT(F24)&lt;10, INT(F24)&gt;55)), $Q$5, ""), "") &amp; " " &amp; _xlfn.IFNA(IF(AND(VLOOKUP(D24, 'Selection Lists'!$A$4:$B$17, 2, FALSE)&lt;1.5, INT(F24)&gt;45), $Q$6, ""), "") &amp; " " &amp; _xlfn.IFNA(IF(AND(OR(G24="X",H24="X"), OR(VLOOKUP(D24, 'Selection Lists'!$A$4:$B$17, 2, FALSE)&lt;0.75, INT(F24)&gt;45)), $Q$7, ""), "")</f>
        <v xml:space="preserve">  </v>
      </c>
      <c r="P24" s="180"/>
    </row>
    <row r="25" spans="1:16" x14ac:dyDescent="0.2">
      <c r="A25" s="153">
        <v>8</v>
      </c>
      <c r="B25" s="154" t="s">
        <v>12</v>
      </c>
      <c r="C25" s="30"/>
      <c r="D25" s="31"/>
      <c r="E25" s="32"/>
      <c r="F25" s="33"/>
      <c r="G25" s="45"/>
      <c r="H25" s="34"/>
      <c r="I25" s="34"/>
      <c r="J25" s="34"/>
      <c r="K25" s="34"/>
      <c r="L25" s="173" t="str">
        <f t="shared" si="1"/>
        <v/>
      </c>
      <c r="M25" s="174" t="str">
        <f t="shared" si="0"/>
        <v/>
      </c>
      <c r="N25" s="175" t="str">
        <f>_xlfn.IFNA(IF(OR(L25&gt;50, OR(OR(VLOOKUP(D25,'Selection Lists'!$A$4:$B$17, 2, FALSE)&lt;3/8, VLOOKUP(D25, 'Selection Lists'!$A$4:$B$17, 2, FALSE)&gt;2)), OR(INT(F25)&lt;10, INT(F25)&gt;55)), $Q$5, ""), "") &amp; " " &amp; _xlfn.IFNA(IF(AND(VLOOKUP(D25, 'Selection Lists'!$A$4:$B$17, 2, FALSE)&lt;1.5, INT(F25)&gt;45), $Q$6, ""), "") &amp; " " &amp; _xlfn.IFNA(IF(AND(OR(G25="X",H25="X"), OR(VLOOKUP(D25, 'Selection Lists'!$A$4:$B$17, 2, FALSE)&lt;0.75, INT(F25)&gt;45)), $Q$7, ""), "")</f>
        <v xml:space="preserve">  </v>
      </c>
      <c r="O25" s="180"/>
    </row>
    <row r="26" spans="1:16" x14ac:dyDescent="0.2">
      <c r="A26" s="155"/>
      <c r="B26" s="156" t="s">
        <v>13</v>
      </c>
      <c r="C26" s="26"/>
      <c r="D26" s="27"/>
      <c r="E26" s="26"/>
      <c r="F26" s="28"/>
      <c r="G26" s="46"/>
      <c r="H26" s="29"/>
      <c r="I26" s="29"/>
      <c r="J26" s="29"/>
      <c r="K26" s="29"/>
      <c r="L26" s="176" t="str">
        <f t="shared" si="1"/>
        <v/>
      </c>
      <c r="M26" s="177" t="str">
        <f t="shared" si="0"/>
        <v/>
      </c>
      <c r="N26" s="175" t="str">
        <f>_xlfn.IFNA(IF(OR(L26&gt;50, OR(OR(VLOOKUP(D26,'Selection Lists'!$A$4:$B$17, 2, FALSE)&lt;3/8, VLOOKUP(D26, 'Selection Lists'!$A$4:$B$17, 2, FALSE)&gt;2)), OR(INT(F26)&lt;10, INT(F26)&gt;55)), $Q$5, ""), "") &amp; " " &amp; _xlfn.IFNA(IF(AND(VLOOKUP(D26, 'Selection Lists'!$A$4:$B$17, 2, FALSE)&lt;1.5, INT(F26)&gt;45), $Q$6, ""), "") &amp; " " &amp; _xlfn.IFNA(IF(AND(OR(G26="X",H26="X"), OR(VLOOKUP(D26, 'Selection Lists'!$A$4:$B$17, 2, FALSE)&lt;0.75, INT(F26)&gt;45)), $Q$7, ""), "")</f>
        <v xml:space="preserve">  </v>
      </c>
      <c r="O26" s="180"/>
      <c r="P26" s="180"/>
    </row>
    <row r="27" spans="1:16" ht="13.5" thickBot="1" x14ac:dyDescent="0.25">
      <c r="A27" s="157"/>
      <c r="B27" s="158" t="s">
        <v>14</v>
      </c>
      <c r="C27" s="35"/>
      <c r="D27" s="36"/>
      <c r="E27" s="35"/>
      <c r="F27" s="37"/>
      <c r="G27" s="47"/>
      <c r="H27" s="38"/>
      <c r="I27" s="38"/>
      <c r="J27" s="38"/>
      <c r="K27" s="38"/>
      <c r="L27" s="178" t="str">
        <f t="shared" si="1"/>
        <v/>
      </c>
      <c r="M27" s="179" t="str">
        <f t="shared" si="0"/>
        <v/>
      </c>
      <c r="N27" s="175" t="str">
        <f>_xlfn.IFNA(IF(OR(L27&gt;50, OR(OR(VLOOKUP(D27,'Selection Lists'!$A$4:$B$17, 2, FALSE)&lt;3/8, VLOOKUP(D27, 'Selection Lists'!$A$4:$B$17, 2, FALSE)&gt;2)), OR(INT(F27)&lt;10, INT(F27)&gt;55)), $Q$5, ""), "") &amp; " " &amp; _xlfn.IFNA(IF(AND(VLOOKUP(D27, 'Selection Lists'!$A$4:$B$17, 2, FALSE)&lt;1.5, INT(F27)&gt;45), $Q$6, ""), "") &amp; " " &amp; _xlfn.IFNA(IF(AND(OR(G27="X",H27="X"), OR(VLOOKUP(D27, 'Selection Lists'!$A$4:$B$17, 2, FALSE)&lt;0.75, INT(F27)&gt;45)), $Q$7, ""), "")</f>
        <v xml:space="preserve">  </v>
      </c>
      <c r="P27" s="180"/>
    </row>
    <row r="28" spans="1:16" x14ac:dyDescent="0.2">
      <c r="A28" s="153">
        <v>9</v>
      </c>
      <c r="B28" s="154" t="s">
        <v>12</v>
      </c>
      <c r="C28" s="30"/>
      <c r="D28" s="31"/>
      <c r="E28" s="32"/>
      <c r="F28" s="33"/>
      <c r="G28" s="45"/>
      <c r="H28" s="34"/>
      <c r="I28" s="34"/>
      <c r="J28" s="34"/>
      <c r="K28" s="34"/>
      <c r="L28" s="173" t="str">
        <f t="shared" si="1"/>
        <v/>
      </c>
      <c r="M28" s="174" t="str">
        <f t="shared" si="0"/>
        <v/>
      </c>
      <c r="N28" s="175" t="str">
        <f>_xlfn.IFNA(IF(OR(L28&gt;50, OR(OR(VLOOKUP(D28,'Selection Lists'!$A$4:$B$17, 2, FALSE)&lt;3/8, VLOOKUP(D28, 'Selection Lists'!$A$4:$B$17, 2, FALSE)&gt;2)), OR(INT(F28)&lt;10, INT(F28)&gt;55)), $Q$5, ""), "") &amp; " " &amp; _xlfn.IFNA(IF(AND(VLOOKUP(D28, 'Selection Lists'!$A$4:$B$17, 2, FALSE)&lt;1.5, INT(F28)&gt;45), $Q$6, ""), "") &amp; " " &amp; _xlfn.IFNA(IF(AND(OR(G28="X",H28="X"), OR(VLOOKUP(D28, 'Selection Lists'!$A$4:$B$17, 2, FALSE)&lt;0.75, INT(F28)&gt;45)), $Q$7, ""), "")</f>
        <v xml:space="preserve">  </v>
      </c>
      <c r="O28" s="180"/>
    </row>
    <row r="29" spans="1:16" x14ac:dyDescent="0.2">
      <c r="A29" s="155"/>
      <c r="B29" s="156" t="s">
        <v>13</v>
      </c>
      <c r="C29" s="26"/>
      <c r="D29" s="27"/>
      <c r="E29" s="26"/>
      <c r="F29" s="28"/>
      <c r="G29" s="46"/>
      <c r="H29" s="29"/>
      <c r="I29" s="29"/>
      <c r="J29" s="29"/>
      <c r="K29" s="29"/>
      <c r="L29" s="176" t="str">
        <f t="shared" si="1"/>
        <v/>
      </c>
      <c r="M29" s="177" t="str">
        <f t="shared" si="0"/>
        <v/>
      </c>
      <c r="N29" s="175" t="str">
        <f>_xlfn.IFNA(IF(OR(L29&gt;50, OR(OR(VLOOKUP(D29,'Selection Lists'!$A$4:$B$17, 2, FALSE)&lt;3/8, VLOOKUP(D29, 'Selection Lists'!$A$4:$B$17, 2, FALSE)&gt;2)), OR(INT(F29)&lt;10, INT(F29)&gt;55)), $Q$5, ""), "") &amp; " " &amp; _xlfn.IFNA(IF(AND(VLOOKUP(D29, 'Selection Lists'!$A$4:$B$17, 2, FALSE)&lt;1.5, INT(F29)&gt;45), $Q$6, ""), "") &amp; " " &amp; _xlfn.IFNA(IF(AND(OR(G29="X",H29="X"), OR(VLOOKUP(D29, 'Selection Lists'!$A$4:$B$17, 2, FALSE)&lt;0.75, INT(F29)&gt;45)), $Q$7, ""), "")</f>
        <v xml:space="preserve">  </v>
      </c>
      <c r="O29" s="180"/>
    </row>
    <row r="30" spans="1:16" ht="13.5" thickBot="1" x14ac:dyDescent="0.25">
      <c r="A30" s="157"/>
      <c r="B30" s="158" t="s">
        <v>14</v>
      </c>
      <c r="C30" s="35"/>
      <c r="D30" s="36"/>
      <c r="E30" s="35"/>
      <c r="F30" s="37"/>
      <c r="G30" s="47"/>
      <c r="H30" s="38"/>
      <c r="I30" s="38"/>
      <c r="J30" s="38"/>
      <c r="K30" s="38"/>
      <c r="L30" s="178" t="str">
        <f t="shared" si="1"/>
        <v/>
      </c>
      <c r="M30" s="179" t="str">
        <f t="shared" si="0"/>
        <v/>
      </c>
      <c r="N30" s="175" t="str">
        <f>_xlfn.IFNA(IF(OR(L30&gt;50, OR(OR(VLOOKUP(D30,'Selection Lists'!$A$4:$B$17, 2, FALSE)&lt;3/8, VLOOKUP(D30, 'Selection Lists'!$A$4:$B$17, 2, FALSE)&gt;2)), OR(INT(F30)&lt;10, INT(F30)&gt;55)), $Q$5, ""), "") &amp; " " &amp; _xlfn.IFNA(IF(AND(VLOOKUP(D30, 'Selection Lists'!$A$4:$B$17, 2, FALSE)&lt;1.5, INT(F30)&gt;45), $Q$6, ""), "") &amp; " " &amp; _xlfn.IFNA(IF(AND(OR(G30="X",H30="X"), OR(VLOOKUP(D30, 'Selection Lists'!$A$4:$B$17, 2, FALSE)&lt;0.75, INT(F30)&gt;45)), $Q$7, ""), "")</f>
        <v xml:space="preserve">  </v>
      </c>
    </row>
    <row r="31" spans="1:16" x14ac:dyDescent="0.2">
      <c r="A31" s="153">
        <v>10</v>
      </c>
      <c r="B31" s="154" t="s">
        <v>12</v>
      </c>
      <c r="C31" s="30"/>
      <c r="D31" s="31"/>
      <c r="E31" s="32"/>
      <c r="F31" s="33"/>
      <c r="G31" s="45"/>
      <c r="H31" s="34"/>
      <c r="I31" s="34"/>
      <c r="J31" s="34"/>
      <c r="K31" s="34"/>
      <c r="L31" s="173" t="str">
        <f t="shared" si="1"/>
        <v/>
      </c>
      <c r="M31" s="174" t="str">
        <f t="shared" si="0"/>
        <v/>
      </c>
      <c r="N31" s="175" t="str">
        <f>_xlfn.IFNA(IF(OR(L31&gt;50, OR(OR(VLOOKUP(D31,'Selection Lists'!$A$4:$B$17, 2, FALSE)&lt;3/8, VLOOKUP(D31, 'Selection Lists'!$A$4:$B$17, 2, FALSE)&gt;2)), OR(INT(F31)&lt;10, INT(F31)&gt;55)), $Q$5, ""), "") &amp; " " &amp; _xlfn.IFNA(IF(AND(VLOOKUP(D31, 'Selection Lists'!$A$4:$B$17, 2, FALSE)&lt;1.5, INT(F31)&gt;45), $Q$6, ""), "") &amp; " " &amp; _xlfn.IFNA(IF(AND(OR(G31="X",H31="X"), OR(VLOOKUP(D31, 'Selection Lists'!$A$4:$B$17, 2, FALSE)&lt;0.75, INT(F31)&gt;45)), $Q$7, ""), "")</f>
        <v xml:space="preserve">  </v>
      </c>
    </row>
    <row r="32" spans="1:16" x14ac:dyDescent="0.2">
      <c r="A32" s="155"/>
      <c r="B32" s="156" t="s">
        <v>13</v>
      </c>
      <c r="C32" s="26"/>
      <c r="D32" s="27"/>
      <c r="E32" s="26"/>
      <c r="F32" s="28"/>
      <c r="G32" s="46"/>
      <c r="H32" s="29"/>
      <c r="I32" s="29"/>
      <c r="J32" s="29"/>
      <c r="K32" s="29"/>
      <c r="L32" s="176" t="str">
        <f t="shared" si="1"/>
        <v/>
      </c>
      <c r="M32" s="177" t="str">
        <f t="shared" si="0"/>
        <v/>
      </c>
      <c r="N32" s="175" t="str">
        <f>_xlfn.IFNA(IF(OR(L32&gt;50, OR(OR(VLOOKUP(D32,'Selection Lists'!$A$4:$B$17, 2, FALSE)&lt;3/8, VLOOKUP(D32, 'Selection Lists'!$A$4:$B$17, 2, FALSE)&gt;2)), OR(INT(F32)&lt;10, INT(F32)&gt;55)), $Q$5, ""), "") &amp; " " &amp; _xlfn.IFNA(IF(AND(VLOOKUP(D32, 'Selection Lists'!$A$4:$B$17, 2, FALSE)&lt;1.5, INT(F32)&gt;45), $Q$6, ""), "") &amp; " " &amp; _xlfn.IFNA(IF(AND(OR(G32="X",H32="X"), OR(VLOOKUP(D32, 'Selection Lists'!$A$4:$B$17, 2, FALSE)&lt;0.75, INT(F32)&gt;45)), $Q$7, ""), "")</f>
        <v xml:space="preserve">  </v>
      </c>
    </row>
    <row r="33" spans="1:14" ht="13.5" thickBot="1" x14ac:dyDescent="0.25">
      <c r="A33" s="157"/>
      <c r="B33" s="158" t="s">
        <v>14</v>
      </c>
      <c r="C33" s="35"/>
      <c r="D33" s="36"/>
      <c r="E33" s="35"/>
      <c r="F33" s="37"/>
      <c r="G33" s="47"/>
      <c r="H33" s="38"/>
      <c r="I33" s="38"/>
      <c r="J33" s="38"/>
      <c r="K33" s="38"/>
      <c r="L33" s="178" t="str">
        <f t="shared" si="1"/>
        <v/>
      </c>
      <c r="M33" s="179" t="str">
        <f t="shared" si="0"/>
        <v/>
      </c>
      <c r="N33" s="175" t="str">
        <f>_xlfn.IFNA(IF(OR(L33&gt;50, OR(OR(VLOOKUP(D33,'Selection Lists'!$A$4:$B$17, 2, FALSE)&lt;3/8, VLOOKUP(D33, 'Selection Lists'!$A$4:$B$17, 2, FALSE)&gt;2)), OR(INT(F33)&lt;10, INT(F33)&gt;55)), $Q$5, ""), "") &amp; " " &amp; _xlfn.IFNA(IF(AND(VLOOKUP(D33, 'Selection Lists'!$A$4:$B$17, 2, FALSE)&lt;1.5, INT(F33)&gt;45), $Q$6, ""), "") &amp; " " &amp; _xlfn.IFNA(IF(AND(OR(G33="X",H33="X"), OR(VLOOKUP(D33, 'Selection Lists'!$A$4:$B$17, 2, FALSE)&lt;0.75, INT(F33)&gt;45)), $Q$7, ""), "")</f>
        <v xml:space="preserve">  </v>
      </c>
    </row>
    <row r="34" spans="1:14" x14ac:dyDescent="0.2">
      <c r="A34" s="153">
        <v>11</v>
      </c>
      <c r="B34" s="154" t="s">
        <v>12</v>
      </c>
      <c r="C34" s="30"/>
      <c r="D34" s="31"/>
      <c r="E34" s="32"/>
      <c r="F34" s="33"/>
      <c r="G34" s="45"/>
      <c r="H34" s="34"/>
      <c r="I34" s="34"/>
      <c r="J34" s="34"/>
      <c r="K34" s="34"/>
      <c r="L34" s="173" t="str">
        <f t="shared" si="1"/>
        <v/>
      </c>
      <c r="M34" s="174" t="str">
        <f t="shared" si="0"/>
        <v/>
      </c>
      <c r="N34" s="175" t="str">
        <f>_xlfn.IFNA(IF(OR(L34&gt;50, OR(OR(VLOOKUP(D34,'Selection Lists'!$A$4:$B$17, 2, FALSE)&lt;3/8, VLOOKUP(D34, 'Selection Lists'!$A$4:$B$17, 2, FALSE)&gt;2)), OR(INT(F34)&lt;10, INT(F34)&gt;55)), $Q$5, ""), "") &amp; " " &amp; _xlfn.IFNA(IF(AND(VLOOKUP(D34, 'Selection Lists'!$A$4:$B$17, 2, FALSE)&lt;1.5, INT(F34)&gt;45), $Q$6, ""), "") &amp; " " &amp; _xlfn.IFNA(IF(AND(OR(G34="X",H34="X"), OR(VLOOKUP(D34, 'Selection Lists'!$A$4:$B$17, 2, FALSE)&lt;0.75, INT(F34)&gt;45)), $Q$7, ""), "")</f>
        <v xml:space="preserve">  </v>
      </c>
    </row>
    <row r="35" spans="1:14" x14ac:dyDescent="0.2">
      <c r="A35" s="155"/>
      <c r="B35" s="156" t="s">
        <v>13</v>
      </c>
      <c r="C35" s="26"/>
      <c r="D35" s="27"/>
      <c r="E35" s="26"/>
      <c r="F35" s="28"/>
      <c r="G35" s="46"/>
      <c r="H35" s="29"/>
      <c r="I35" s="29"/>
      <c r="J35" s="29"/>
      <c r="K35" s="29"/>
      <c r="L35" s="176" t="str">
        <f t="shared" si="1"/>
        <v/>
      </c>
      <c r="M35" s="177" t="str">
        <f t="shared" si="0"/>
        <v/>
      </c>
      <c r="N35" s="175" t="str">
        <f>_xlfn.IFNA(IF(OR(L35&gt;50, OR(OR(VLOOKUP(D35,'Selection Lists'!$A$4:$B$17, 2, FALSE)&lt;3/8, VLOOKUP(D35, 'Selection Lists'!$A$4:$B$17, 2, FALSE)&gt;2)), OR(INT(F35)&lt;10, INT(F35)&gt;55)), $Q$5, ""), "") &amp; " " &amp; _xlfn.IFNA(IF(AND(VLOOKUP(D35, 'Selection Lists'!$A$4:$B$17, 2, FALSE)&lt;1.5, INT(F35)&gt;45), $Q$6, ""), "") &amp; " " &amp; _xlfn.IFNA(IF(AND(OR(G35="X",H35="X"), OR(VLOOKUP(D35, 'Selection Lists'!$A$4:$B$17, 2, FALSE)&lt;0.75, INT(F35)&gt;45)), $Q$7, ""), "")</f>
        <v xml:space="preserve">  </v>
      </c>
    </row>
    <row r="36" spans="1:14" ht="13.5" thickBot="1" x14ac:dyDescent="0.25">
      <c r="A36" s="157"/>
      <c r="B36" s="158" t="s">
        <v>14</v>
      </c>
      <c r="C36" s="35"/>
      <c r="D36" s="36"/>
      <c r="E36" s="35"/>
      <c r="F36" s="37"/>
      <c r="G36" s="47"/>
      <c r="H36" s="38"/>
      <c r="I36" s="38"/>
      <c r="J36" s="38"/>
      <c r="K36" s="38"/>
      <c r="L36" s="178" t="str">
        <f t="shared" si="1"/>
        <v/>
      </c>
      <c r="M36" s="179" t="str">
        <f t="shared" ref="M36:M67" si="2">IFERROR((F36/D36)*(1+IF(G36="X", 0.75, 0) +IF(H36="X", 0.5, 0) + IF(I36="X", 0.25, 0) + IF(J36="X", 0.25, 0) + IF(K36="X", 0.25, 0)+IF(F36&gt;45, 0.125, 0)), "")</f>
        <v/>
      </c>
      <c r="N36" s="175" t="str">
        <f>_xlfn.IFNA(IF(OR(L36&gt;50, OR(OR(VLOOKUP(D36,'Selection Lists'!$A$4:$B$17, 2, FALSE)&lt;3/8, VLOOKUP(D36, 'Selection Lists'!$A$4:$B$17, 2, FALSE)&gt;2)), OR(INT(F36)&lt;10, INT(F36)&gt;55)), $Q$5, ""), "") &amp; " " &amp; _xlfn.IFNA(IF(AND(VLOOKUP(D36, 'Selection Lists'!$A$4:$B$17, 2, FALSE)&lt;1.5, INT(F36)&gt;45), $Q$6, ""), "") &amp; " " &amp; _xlfn.IFNA(IF(AND(OR(G36="X",H36="X"), OR(VLOOKUP(D36, 'Selection Lists'!$A$4:$B$17, 2, FALSE)&lt;0.75, INT(F36)&gt;45)), $Q$7, ""), "")</f>
        <v xml:space="preserve">  </v>
      </c>
    </row>
    <row r="37" spans="1:14" x14ac:dyDescent="0.2">
      <c r="A37" s="153">
        <v>12</v>
      </c>
      <c r="B37" s="154" t="s">
        <v>12</v>
      </c>
      <c r="C37" s="30"/>
      <c r="D37" s="31"/>
      <c r="E37" s="32"/>
      <c r="F37" s="33"/>
      <c r="G37" s="45"/>
      <c r="H37" s="34"/>
      <c r="I37" s="34"/>
      <c r="J37" s="34"/>
      <c r="K37" s="34"/>
      <c r="L37" s="173" t="str">
        <f t="shared" si="1"/>
        <v/>
      </c>
      <c r="M37" s="174" t="str">
        <f t="shared" si="2"/>
        <v/>
      </c>
      <c r="N37" s="175" t="str">
        <f>_xlfn.IFNA(IF(OR(L37&gt;50, OR(OR(VLOOKUP(D37,'Selection Lists'!$A$4:$B$17, 2, FALSE)&lt;3/8, VLOOKUP(D37, 'Selection Lists'!$A$4:$B$17, 2, FALSE)&gt;2)), OR(INT(F37)&lt;10, INT(F37)&gt;55)), $Q$5, ""), "") &amp; " " &amp; _xlfn.IFNA(IF(AND(VLOOKUP(D37, 'Selection Lists'!$A$4:$B$17, 2, FALSE)&lt;1.5, INT(F37)&gt;45), $Q$6, ""), "") &amp; " " &amp; _xlfn.IFNA(IF(AND(OR(G37="X",H37="X"), OR(VLOOKUP(D37, 'Selection Lists'!$A$4:$B$17, 2, FALSE)&lt;0.75, INT(F37)&gt;45)), $Q$7, ""), "")</f>
        <v xml:space="preserve">  </v>
      </c>
    </row>
    <row r="38" spans="1:14" x14ac:dyDescent="0.2">
      <c r="A38" s="155"/>
      <c r="B38" s="156" t="s">
        <v>13</v>
      </c>
      <c r="C38" s="26"/>
      <c r="D38" s="27"/>
      <c r="E38" s="26"/>
      <c r="F38" s="28"/>
      <c r="G38" s="46"/>
      <c r="H38" s="29"/>
      <c r="I38" s="29"/>
      <c r="J38" s="29"/>
      <c r="K38" s="29"/>
      <c r="L38" s="176" t="str">
        <f t="shared" si="1"/>
        <v/>
      </c>
      <c r="M38" s="177" t="str">
        <f t="shared" si="2"/>
        <v/>
      </c>
      <c r="N38" s="175" t="str">
        <f>_xlfn.IFNA(IF(OR(L38&gt;50, OR(OR(VLOOKUP(D38,'Selection Lists'!$A$4:$B$17, 2, FALSE)&lt;3/8, VLOOKUP(D38, 'Selection Lists'!$A$4:$B$17, 2, FALSE)&gt;2)), OR(INT(F38)&lt;10, INT(F38)&gt;55)), $Q$5, ""), "") &amp; " " &amp; _xlfn.IFNA(IF(AND(VLOOKUP(D38, 'Selection Lists'!$A$4:$B$17, 2, FALSE)&lt;1.5, INT(F38)&gt;45), $Q$6, ""), "") &amp; " " &amp; _xlfn.IFNA(IF(AND(OR(G38="X",H38="X"), OR(VLOOKUP(D38, 'Selection Lists'!$A$4:$B$17, 2, FALSE)&lt;0.75, INT(F38)&gt;45)), $Q$7, ""), "")</f>
        <v xml:space="preserve">  </v>
      </c>
    </row>
    <row r="39" spans="1:14" ht="13.5" thickBot="1" x14ac:dyDescent="0.25">
      <c r="A39" s="157"/>
      <c r="B39" s="158" t="s">
        <v>14</v>
      </c>
      <c r="C39" s="35"/>
      <c r="D39" s="36"/>
      <c r="E39" s="35"/>
      <c r="F39" s="37"/>
      <c r="G39" s="47"/>
      <c r="H39" s="38"/>
      <c r="I39" s="38"/>
      <c r="J39" s="38"/>
      <c r="K39" s="38"/>
      <c r="L39" s="178" t="str">
        <f t="shared" si="1"/>
        <v/>
      </c>
      <c r="M39" s="179" t="str">
        <f t="shared" si="2"/>
        <v/>
      </c>
      <c r="N39" s="175" t="str">
        <f>_xlfn.IFNA(IF(OR(L39&gt;50, OR(OR(VLOOKUP(D39,'Selection Lists'!$A$4:$B$17, 2, FALSE)&lt;3/8, VLOOKUP(D39, 'Selection Lists'!$A$4:$B$17, 2, FALSE)&gt;2)), OR(INT(F39)&lt;10, INT(F39)&gt;55)), $Q$5, ""), "") &amp; " " &amp; _xlfn.IFNA(IF(AND(VLOOKUP(D39, 'Selection Lists'!$A$4:$B$17, 2, FALSE)&lt;1.5, INT(F39)&gt;45), $Q$6, ""), "") &amp; " " &amp; _xlfn.IFNA(IF(AND(OR(G39="X",H39="X"), OR(VLOOKUP(D39, 'Selection Lists'!$A$4:$B$17, 2, FALSE)&lt;0.75, INT(F39)&gt;45)), $Q$7, ""), "")</f>
        <v xml:space="preserve">  </v>
      </c>
    </row>
    <row r="40" spans="1:14" x14ac:dyDescent="0.2">
      <c r="A40" s="153">
        <v>13</v>
      </c>
      <c r="B40" s="154" t="s">
        <v>12</v>
      </c>
      <c r="C40" s="30"/>
      <c r="D40" s="31"/>
      <c r="E40" s="32"/>
      <c r="F40" s="33"/>
      <c r="G40" s="45"/>
      <c r="H40" s="34"/>
      <c r="I40" s="34"/>
      <c r="J40" s="34"/>
      <c r="K40" s="34"/>
      <c r="L40" s="173" t="str">
        <f t="shared" si="1"/>
        <v/>
      </c>
      <c r="M40" s="174" t="str">
        <f t="shared" si="2"/>
        <v/>
      </c>
      <c r="N40" s="175" t="str">
        <f>_xlfn.IFNA(IF(OR(L40&gt;50, OR(OR(VLOOKUP(D40,'Selection Lists'!$A$4:$B$17, 2, FALSE)&lt;3/8, VLOOKUP(D40, 'Selection Lists'!$A$4:$B$17, 2, FALSE)&gt;2)), OR(INT(F40)&lt;10, INT(F40)&gt;55)), $Q$5, ""), "") &amp; " " &amp; _xlfn.IFNA(IF(AND(VLOOKUP(D40, 'Selection Lists'!$A$4:$B$17, 2, FALSE)&lt;1.5, INT(F40)&gt;45), $Q$6, ""), "") &amp; " " &amp; _xlfn.IFNA(IF(AND(OR(G40="X",H40="X"), OR(VLOOKUP(D40, 'Selection Lists'!$A$4:$B$17, 2, FALSE)&lt;0.75, INT(F40)&gt;45)), $Q$7, ""), "")</f>
        <v xml:space="preserve">  </v>
      </c>
    </row>
    <row r="41" spans="1:14" x14ac:dyDescent="0.2">
      <c r="A41" s="155"/>
      <c r="B41" s="156" t="s">
        <v>13</v>
      </c>
      <c r="C41" s="26"/>
      <c r="D41" s="27"/>
      <c r="E41" s="26"/>
      <c r="F41" s="28"/>
      <c r="G41" s="46"/>
      <c r="H41" s="29"/>
      <c r="I41" s="29"/>
      <c r="J41" s="29"/>
      <c r="K41" s="29"/>
      <c r="L41" s="176" t="str">
        <f t="shared" si="1"/>
        <v/>
      </c>
      <c r="M41" s="177" t="str">
        <f t="shared" si="2"/>
        <v/>
      </c>
      <c r="N41" s="175" t="str">
        <f>_xlfn.IFNA(IF(OR(L41&gt;50, OR(OR(VLOOKUP(D41,'Selection Lists'!$A$4:$B$17, 2, FALSE)&lt;3/8, VLOOKUP(D41, 'Selection Lists'!$A$4:$B$17, 2, FALSE)&gt;2)), OR(INT(F41)&lt;10, INT(F41)&gt;55)), $Q$5, ""), "") &amp; " " &amp; _xlfn.IFNA(IF(AND(VLOOKUP(D41, 'Selection Lists'!$A$4:$B$17, 2, FALSE)&lt;1.5, INT(F41)&gt;45), $Q$6, ""), "") &amp; " " &amp; _xlfn.IFNA(IF(AND(OR(G41="X",H41="X"), OR(VLOOKUP(D41, 'Selection Lists'!$A$4:$B$17, 2, FALSE)&lt;0.75, INT(F41)&gt;45)), $Q$7, ""), "")</f>
        <v xml:space="preserve">  </v>
      </c>
    </row>
    <row r="42" spans="1:14" ht="13.5" thickBot="1" x14ac:dyDescent="0.25">
      <c r="A42" s="157"/>
      <c r="B42" s="158" t="s">
        <v>14</v>
      </c>
      <c r="C42" s="35"/>
      <c r="D42" s="36"/>
      <c r="E42" s="35"/>
      <c r="F42" s="37"/>
      <c r="G42" s="47"/>
      <c r="H42" s="38"/>
      <c r="I42" s="38"/>
      <c r="J42" s="38"/>
      <c r="K42" s="38"/>
      <c r="L42" s="178" t="str">
        <f t="shared" si="1"/>
        <v/>
      </c>
      <c r="M42" s="179" t="str">
        <f t="shared" si="2"/>
        <v/>
      </c>
      <c r="N42" s="175" t="str">
        <f>_xlfn.IFNA(IF(OR(L42&gt;50, OR(OR(VLOOKUP(D42,'Selection Lists'!$A$4:$B$17, 2, FALSE)&lt;3/8, VLOOKUP(D42, 'Selection Lists'!$A$4:$B$17, 2, FALSE)&gt;2)), OR(INT(F42)&lt;10, INT(F42)&gt;55)), $Q$5, ""), "") &amp; " " &amp; _xlfn.IFNA(IF(AND(VLOOKUP(D42, 'Selection Lists'!$A$4:$B$17, 2, FALSE)&lt;1.5, INT(F42)&gt;45), $Q$6, ""), "") &amp; " " &amp; _xlfn.IFNA(IF(AND(OR(G42="X",H42="X"), OR(VLOOKUP(D42, 'Selection Lists'!$A$4:$B$17, 2, FALSE)&lt;0.75, INT(F42)&gt;45)), $Q$7, ""), "")</f>
        <v xml:space="preserve">  </v>
      </c>
    </row>
    <row r="43" spans="1:14" x14ac:dyDescent="0.2">
      <c r="A43" s="153">
        <v>14</v>
      </c>
      <c r="B43" s="154" t="s">
        <v>12</v>
      </c>
      <c r="C43" s="30"/>
      <c r="D43" s="31"/>
      <c r="E43" s="32"/>
      <c r="F43" s="33"/>
      <c r="G43" s="45"/>
      <c r="H43" s="34"/>
      <c r="I43" s="34"/>
      <c r="J43" s="34"/>
      <c r="K43" s="34"/>
      <c r="L43" s="173" t="str">
        <f t="shared" si="1"/>
        <v/>
      </c>
      <c r="M43" s="174" t="str">
        <f t="shared" si="2"/>
        <v/>
      </c>
      <c r="N43" s="175" t="str">
        <f>_xlfn.IFNA(IF(OR(L43&gt;50, OR(OR(VLOOKUP(D43,'Selection Lists'!$A$4:$B$17, 2, FALSE)&lt;3/8, VLOOKUP(D43, 'Selection Lists'!$A$4:$B$17, 2, FALSE)&gt;2)), OR(INT(F43)&lt;10, INT(F43)&gt;55)), $Q$5, ""), "") &amp; " " &amp; _xlfn.IFNA(IF(AND(VLOOKUP(D43, 'Selection Lists'!$A$4:$B$17, 2, FALSE)&lt;1.5, INT(F43)&gt;45), $Q$6, ""), "") &amp; " " &amp; _xlfn.IFNA(IF(AND(OR(G43="X",H43="X"), OR(VLOOKUP(D43, 'Selection Lists'!$A$4:$B$17, 2, FALSE)&lt;0.75, INT(F43)&gt;45)), $Q$7, ""), "")</f>
        <v xml:space="preserve">  </v>
      </c>
    </row>
    <row r="44" spans="1:14" x14ac:dyDescent="0.2">
      <c r="A44" s="155"/>
      <c r="B44" s="156" t="s">
        <v>13</v>
      </c>
      <c r="C44" s="26"/>
      <c r="D44" s="27"/>
      <c r="E44" s="26"/>
      <c r="F44" s="28"/>
      <c r="G44" s="46"/>
      <c r="H44" s="29"/>
      <c r="I44" s="29"/>
      <c r="J44" s="29"/>
      <c r="K44" s="29"/>
      <c r="L44" s="176" t="str">
        <f t="shared" si="1"/>
        <v/>
      </c>
      <c r="M44" s="177" t="str">
        <f t="shared" si="2"/>
        <v/>
      </c>
      <c r="N44" s="175" t="str">
        <f>_xlfn.IFNA(IF(OR(L44&gt;50, OR(OR(VLOOKUP(D44,'Selection Lists'!$A$4:$B$17, 2, FALSE)&lt;3/8, VLOOKUP(D44, 'Selection Lists'!$A$4:$B$17, 2, FALSE)&gt;2)), OR(INT(F44)&lt;10, INT(F44)&gt;55)), $Q$5, ""), "") &amp; " " &amp; _xlfn.IFNA(IF(AND(VLOOKUP(D44, 'Selection Lists'!$A$4:$B$17, 2, FALSE)&lt;1.5, INT(F44)&gt;45), $Q$6, ""), "") &amp; " " &amp; _xlfn.IFNA(IF(AND(OR(G44="X",H44="X"), OR(VLOOKUP(D44, 'Selection Lists'!$A$4:$B$17, 2, FALSE)&lt;0.75, INT(F44)&gt;45)), $Q$7, ""), "")</f>
        <v xml:space="preserve">  </v>
      </c>
    </row>
    <row r="45" spans="1:14" ht="13.5" thickBot="1" x14ac:dyDescent="0.25">
      <c r="A45" s="157"/>
      <c r="B45" s="158" t="s">
        <v>14</v>
      </c>
      <c r="C45" s="35"/>
      <c r="D45" s="36"/>
      <c r="E45" s="35"/>
      <c r="F45" s="37"/>
      <c r="G45" s="47"/>
      <c r="H45" s="38"/>
      <c r="I45" s="38"/>
      <c r="J45" s="38"/>
      <c r="K45" s="38"/>
      <c r="L45" s="178" t="str">
        <f t="shared" si="1"/>
        <v/>
      </c>
      <c r="M45" s="179" t="str">
        <f t="shared" si="2"/>
        <v/>
      </c>
      <c r="N45" s="175" t="str">
        <f>_xlfn.IFNA(IF(OR(L45&gt;50, OR(OR(VLOOKUP(D45,'Selection Lists'!$A$4:$B$17, 2, FALSE)&lt;3/8, VLOOKUP(D45, 'Selection Lists'!$A$4:$B$17, 2, FALSE)&gt;2)), OR(INT(F45)&lt;10, INT(F45)&gt;55)), $Q$5, ""), "") &amp; " " &amp; _xlfn.IFNA(IF(AND(VLOOKUP(D45, 'Selection Lists'!$A$4:$B$17, 2, FALSE)&lt;1.5, INT(F45)&gt;45), $Q$6, ""), "") &amp; " " &amp; _xlfn.IFNA(IF(AND(OR(G45="X",H45="X"), OR(VLOOKUP(D45, 'Selection Lists'!$A$4:$B$17, 2, FALSE)&lt;0.75, INT(F45)&gt;45)), $Q$7, ""), "")</f>
        <v xml:space="preserve">  </v>
      </c>
    </row>
    <row r="46" spans="1:14" x14ac:dyDescent="0.2">
      <c r="A46" s="181">
        <v>15</v>
      </c>
      <c r="B46" s="154" t="s">
        <v>12</v>
      </c>
      <c r="C46" s="30"/>
      <c r="D46" s="31"/>
      <c r="E46" s="32"/>
      <c r="F46" s="33"/>
      <c r="G46" s="45"/>
      <c r="H46" s="34"/>
      <c r="I46" s="34"/>
      <c r="J46" s="34"/>
      <c r="K46" s="34"/>
      <c r="L46" s="173" t="str">
        <f t="shared" si="1"/>
        <v/>
      </c>
      <c r="M46" s="174" t="str">
        <f t="shared" si="2"/>
        <v/>
      </c>
      <c r="N46" s="175" t="str">
        <f>_xlfn.IFNA(IF(OR(L46&gt;50, OR(OR(VLOOKUP(D46,'Selection Lists'!$A$4:$B$17, 2, FALSE)&lt;3/8, VLOOKUP(D46, 'Selection Lists'!$A$4:$B$17, 2, FALSE)&gt;2)), OR(INT(F46)&lt;10, INT(F46)&gt;55)), $Q$5, ""), "") &amp; " " &amp; _xlfn.IFNA(IF(AND(VLOOKUP(D46, 'Selection Lists'!$A$4:$B$17, 2, FALSE)&lt;1.5, INT(F46)&gt;45), $Q$6, ""), "") &amp; " " &amp; _xlfn.IFNA(IF(AND(OR(G46="X",H46="X"), OR(VLOOKUP(D46, 'Selection Lists'!$A$4:$B$17, 2, FALSE)&lt;0.75, INT(F46)&gt;45)), $Q$7, ""), "")</f>
        <v xml:space="preserve">  </v>
      </c>
    </row>
    <row r="47" spans="1:14" x14ac:dyDescent="0.2">
      <c r="A47" s="182"/>
      <c r="B47" s="156" t="s">
        <v>13</v>
      </c>
      <c r="C47" s="26"/>
      <c r="D47" s="27"/>
      <c r="E47" s="26"/>
      <c r="F47" s="28"/>
      <c r="G47" s="46"/>
      <c r="H47" s="29"/>
      <c r="I47" s="29"/>
      <c r="J47" s="29"/>
      <c r="K47" s="29"/>
      <c r="L47" s="176" t="str">
        <f t="shared" si="1"/>
        <v/>
      </c>
      <c r="M47" s="177" t="str">
        <f t="shared" si="2"/>
        <v/>
      </c>
      <c r="N47" s="175" t="str">
        <f>_xlfn.IFNA(IF(OR(L47&gt;50, OR(OR(VLOOKUP(D47,'Selection Lists'!$A$4:$B$17, 2, FALSE)&lt;3/8, VLOOKUP(D47, 'Selection Lists'!$A$4:$B$17, 2, FALSE)&gt;2)), OR(INT(F47)&lt;10, INT(F47)&gt;55)), $Q$5, ""), "") &amp; " " &amp; _xlfn.IFNA(IF(AND(VLOOKUP(D47, 'Selection Lists'!$A$4:$B$17, 2, FALSE)&lt;1.5, INT(F47)&gt;45), $Q$6, ""), "") &amp; " " &amp; _xlfn.IFNA(IF(AND(OR(G47="X",H47="X"), OR(VLOOKUP(D47, 'Selection Lists'!$A$4:$B$17, 2, FALSE)&lt;0.75, INT(F47)&gt;45)), $Q$7, ""), "")</f>
        <v xml:space="preserve">  </v>
      </c>
    </row>
    <row r="48" spans="1:14" ht="13.5" thickBot="1" x14ac:dyDescent="0.25">
      <c r="A48" s="183"/>
      <c r="B48" s="158" t="s">
        <v>14</v>
      </c>
      <c r="C48" s="35"/>
      <c r="D48" s="36"/>
      <c r="E48" s="35"/>
      <c r="F48" s="37"/>
      <c r="G48" s="47"/>
      <c r="H48" s="38"/>
      <c r="I48" s="38"/>
      <c r="J48" s="38"/>
      <c r="K48" s="38"/>
      <c r="L48" s="178" t="str">
        <f t="shared" si="1"/>
        <v/>
      </c>
      <c r="M48" s="179" t="str">
        <f t="shared" si="2"/>
        <v/>
      </c>
      <c r="N48" s="175" t="str">
        <f>_xlfn.IFNA(IF(OR(L48&gt;50, OR(OR(VLOOKUP(D48,'Selection Lists'!$A$4:$B$17, 2, FALSE)&lt;3/8, VLOOKUP(D48, 'Selection Lists'!$A$4:$B$17, 2, FALSE)&gt;2)), OR(INT(F48)&lt;10, INT(F48)&gt;55)), $Q$5, ""), "") &amp; " " &amp; _xlfn.IFNA(IF(AND(VLOOKUP(D48, 'Selection Lists'!$A$4:$B$17, 2, FALSE)&lt;1.5, INT(F48)&gt;45), $Q$6, ""), "") &amp; " " &amp; _xlfn.IFNA(IF(AND(OR(G48="X",H48="X"), OR(VLOOKUP(D48, 'Selection Lists'!$A$4:$B$17, 2, FALSE)&lt;0.75, INT(F48)&gt;45)), $Q$7, ""), "")</f>
        <v xml:space="preserve">  </v>
      </c>
    </row>
    <row r="49" spans="1:14" x14ac:dyDescent="0.2">
      <c r="A49" s="181">
        <v>16</v>
      </c>
      <c r="B49" s="154" t="s">
        <v>12</v>
      </c>
      <c r="C49" s="30"/>
      <c r="D49" s="31"/>
      <c r="E49" s="32"/>
      <c r="F49" s="33"/>
      <c r="G49" s="45"/>
      <c r="H49" s="34"/>
      <c r="I49" s="34"/>
      <c r="J49" s="34"/>
      <c r="K49" s="34"/>
      <c r="L49" s="173" t="str">
        <f t="shared" si="1"/>
        <v/>
      </c>
      <c r="M49" s="174" t="str">
        <f t="shared" si="2"/>
        <v/>
      </c>
      <c r="N49" s="175" t="str">
        <f>_xlfn.IFNA(IF(OR(L49&gt;50, OR(OR(VLOOKUP(D49,'Selection Lists'!$A$4:$B$17, 2, FALSE)&lt;3/8, VLOOKUP(D49, 'Selection Lists'!$A$4:$B$17, 2, FALSE)&gt;2)), OR(INT(F49)&lt;10, INT(F49)&gt;55)), $Q$5, ""), "") &amp; " " &amp; _xlfn.IFNA(IF(AND(VLOOKUP(D49, 'Selection Lists'!$A$4:$B$17, 2, FALSE)&lt;1.5, INT(F49)&gt;45), $Q$6, ""), "") &amp; " " &amp; _xlfn.IFNA(IF(AND(OR(G49="X",H49="X"), OR(VLOOKUP(D49, 'Selection Lists'!$A$4:$B$17, 2, FALSE)&lt;0.75, INT(F49)&gt;45)), $Q$7, ""), "")</f>
        <v xml:space="preserve">  </v>
      </c>
    </row>
    <row r="50" spans="1:14" x14ac:dyDescent="0.2">
      <c r="A50" s="182"/>
      <c r="B50" s="156" t="s">
        <v>13</v>
      </c>
      <c r="C50" s="26"/>
      <c r="D50" s="27"/>
      <c r="E50" s="26"/>
      <c r="F50" s="28"/>
      <c r="G50" s="46"/>
      <c r="H50" s="29"/>
      <c r="I50" s="29"/>
      <c r="J50" s="29"/>
      <c r="K50" s="29"/>
      <c r="L50" s="176" t="str">
        <f t="shared" si="1"/>
        <v/>
      </c>
      <c r="M50" s="177" t="str">
        <f t="shared" si="2"/>
        <v/>
      </c>
      <c r="N50" s="175" t="str">
        <f>_xlfn.IFNA(IF(OR(L50&gt;50, OR(OR(VLOOKUP(D50,'Selection Lists'!$A$4:$B$17, 2, FALSE)&lt;3/8, VLOOKUP(D50, 'Selection Lists'!$A$4:$B$17, 2, FALSE)&gt;2)), OR(INT(F50)&lt;10, INT(F50)&gt;55)), $Q$5, ""), "") &amp; " " &amp; _xlfn.IFNA(IF(AND(VLOOKUP(D50, 'Selection Lists'!$A$4:$B$17, 2, FALSE)&lt;1.5, INT(F50)&gt;45), $Q$6, ""), "") &amp; " " &amp; _xlfn.IFNA(IF(AND(OR(G50="X",H50="X"), OR(VLOOKUP(D50, 'Selection Lists'!$A$4:$B$17, 2, FALSE)&lt;0.75, INT(F50)&gt;45)), $Q$7, ""), "")</f>
        <v xml:space="preserve">  </v>
      </c>
    </row>
    <row r="51" spans="1:14" ht="13.5" thickBot="1" x14ac:dyDescent="0.25">
      <c r="A51" s="183"/>
      <c r="B51" s="158" t="s">
        <v>14</v>
      </c>
      <c r="C51" s="35"/>
      <c r="D51" s="36"/>
      <c r="E51" s="35"/>
      <c r="F51" s="37"/>
      <c r="G51" s="47"/>
      <c r="H51" s="38"/>
      <c r="I51" s="38"/>
      <c r="J51" s="38"/>
      <c r="K51" s="38"/>
      <c r="L51" s="178" t="str">
        <f t="shared" si="1"/>
        <v/>
      </c>
      <c r="M51" s="179" t="str">
        <f t="shared" si="2"/>
        <v/>
      </c>
      <c r="N51" s="175" t="str">
        <f>_xlfn.IFNA(IF(OR(L51&gt;50, OR(OR(VLOOKUP(D51,'Selection Lists'!$A$4:$B$17, 2, FALSE)&lt;3/8, VLOOKUP(D51, 'Selection Lists'!$A$4:$B$17, 2, FALSE)&gt;2)), OR(INT(F51)&lt;10, INT(F51)&gt;55)), $Q$5, ""), "") &amp; " " &amp; _xlfn.IFNA(IF(AND(VLOOKUP(D51, 'Selection Lists'!$A$4:$B$17, 2, FALSE)&lt;1.5, INT(F51)&gt;45), $Q$6, ""), "") &amp; " " &amp; _xlfn.IFNA(IF(AND(OR(G51="X",H51="X"), OR(VLOOKUP(D51, 'Selection Lists'!$A$4:$B$17, 2, FALSE)&lt;0.75, INT(F51)&gt;45)), $Q$7, ""), "")</f>
        <v xml:space="preserve">  </v>
      </c>
    </row>
    <row r="52" spans="1:14" x14ac:dyDescent="0.2">
      <c r="A52" s="181">
        <v>17</v>
      </c>
      <c r="B52" s="154" t="s">
        <v>12</v>
      </c>
      <c r="C52" s="30"/>
      <c r="D52" s="31"/>
      <c r="E52" s="32"/>
      <c r="F52" s="33"/>
      <c r="G52" s="45"/>
      <c r="H52" s="34"/>
      <c r="I52" s="34"/>
      <c r="J52" s="34"/>
      <c r="K52" s="34"/>
      <c r="L52" s="173" t="str">
        <f t="shared" si="1"/>
        <v/>
      </c>
      <c r="M52" s="174" t="str">
        <f t="shared" si="2"/>
        <v/>
      </c>
      <c r="N52" s="175" t="str">
        <f>_xlfn.IFNA(IF(OR(L52&gt;50, OR(OR(VLOOKUP(D52,'Selection Lists'!$A$4:$B$17, 2, FALSE)&lt;3/8, VLOOKUP(D52, 'Selection Lists'!$A$4:$B$17, 2, FALSE)&gt;2)), OR(INT(F52)&lt;10, INT(F52)&gt;55)), $Q$5, ""), "") &amp; " " &amp; _xlfn.IFNA(IF(AND(VLOOKUP(D52, 'Selection Lists'!$A$4:$B$17, 2, FALSE)&lt;1.5, INT(F52)&gt;45), $Q$6, ""), "") &amp; " " &amp; _xlfn.IFNA(IF(AND(OR(G52="X",H52="X"), OR(VLOOKUP(D52, 'Selection Lists'!$A$4:$B$17, 2, FALSE)&lt;0.75, INT(F52)&gt;45)), $Q$7, ""), "")</f>
        <v xml:space="preserve">  </v>
      </c>
    </row>
    <row r="53" spans="1:14" x14ac:dyDescent="0.2">
      <c r="A53" s="182"/>
      <c r="B53" s="156" t="s">
        <v>13</v>
      </c>
      <c r="C53" s="26"/>
      <c r="D53" s="27"/>
      <c r="E53" s="26"/>
      <c r="F53" s="28"/>
      <c r="G53" s="46"/>
      <c r="H53" s="29"/>
      <c r="I53" s="29"/>
      <c r="J53" s="29"/>
      <c r="K53" s="29"/>
      <c r="L53" s="176" t="str">
        <f t="shared" si="1"/>
        <v/>
      </c>
      <c r="M53" s="177" t="str">
        <f t="shared" si="2"/>
        <v/>
      </c>
      <c r="N53" s="175" t="str">
        <f>_xlfn.IFNA(IF(OR(L53&gt;50, OR(OR(VLOOKUP(D53,'Selection Lists'!$A$4:$B$17, 2, FALSE)&lt;3/8, VLOOKUP(D53, 'Selection Lists'!$A$4:$B$17, 2, FALSE)&gt;2)), OR(INT(F53)&lt;10, INT(F53)&gt;55)), $Q$5, ""), "") &amp; " " &amp; _xlfn.IFNA(IF(AND(VLOOKUP(D53, 'Selection Lists'!$A$4:$B$17, 2, FALSE)&lt;1.5, INT(F53)&gt;45), $Q$6, ""), "") &amp; " " &amp; _xlfn.IFNA(IF(AND(OR(G53="X",H53="X"), OR(VLOOKUP(D53, 'Selection Lists'!$A$4:$B$17, 2, FALSE)&lt;0.75, INT(F53)&gt;45)), $Q$7, ""), "")</f>
        <v xml:space="preserve">  </v>
      </c>
    </row>
    <row r="54" spans="1:14" ht="13.5" thickBot="1" x14ac:dyDescent="0.25">
      <c r="A54" s="183"/>
      <c r="B54" s="158" t="s">
        <v>14</v>
      </c>
      <c r="C54" s="35"/>
      <c r="D54" s="36"/>
      <c r="E54" s="35"/>
      <c r="F54" s="37"/>
      <c r="G54" s="47"/>
      <c r="H54" s="38"/>
      <c r="I54" s="38"/>
      <c r="J54" s="38"/>
      <c r="K54" s="38"/>
      <c r="L54" s="178" t="str">
        <f t="shared" si="1"/>
        <v/>
      </c>
      <c r="M54" s="179" t="str">
        <f t="shared" si="2"/>
        <v/>
      </c>
      <c r="N54" s="175" t="str">
        <f>_xlfn.IFNA(IF(OR(L54&gt;50, OR(OR(VLOOKUP(D54,'Selection Lists'!$A$4:$B$17, 2, FALSE)&lt;3/8, VLOOKUP(D54, 'Selection Lists'!$A$4:$B$17, 2, FALSE)&gt;2)), OR(INT(F54)&lt;10, INT(F54)&gt;55)), $Q$5, ""), "") &amp; " " &amp; _xlfn.IFNA(IF(AND(VLOOKUP(D54, 'Selection Lists'!$A$4:$B$17, 2, FALSE)&lt;1.5, INT(F54)&gt;45), $Q$6, ""), "") &amp; " " &amp; _xlfn.IFNA(IF(AND(OR(G54="X",H54="X"), OR(VLOOKUP(D54, 'Selection Lists'!$A$4:$B$17, 2, FALSE)&lt;0.75, INT(F54)&gt;45)), $Q$7, ""), "")</f>
        <v xml:space="preserve">  </v>
      </c>
    </row>
    <row r="55" spans="1:14" x14ac:dyDescent="0.2">
      <c r="A55" s="181">
        <v>18</v>
      </c>
      <c r="B55" s="154" t="s">
        <v>12</v>
      </c>
      <c r="C55" s="30"/>
      <c r="D55" s="31"/>
      <c r="E55" s="32"/>
      <c r="F55" s="33"/>
      <c r="G55" s="45"/>
      <c r="H55" s="34"/>
      <c r="I55" s="34"/>
      <c r="J55" s="34"/>
      <c r="K55" s="34"/>
      <c r="L55" s="173" t="str">
        <f t="shared" si="1"/>
        <v/>
      </c>
      <c r="M55" s="174" t="str">
        <f t="shared" si="2"/>
        <v/>
      </c>
      <c r="N55" s="175" t="str">
        <f>_xlfn.IFNA(IF(OR(L55&gt;50, OR(OR(VLOOKUP(D55,'Selection Lists'!$A$4:$B$17, 2, FALSE)&lt;3/8, VLOOKUP(D55, 'Selection Lists'!$A$4:$B$17, 2, FALSE)&gt;2)), OR(INT(F55)&lt;10, INT(F55)&gt;55)), $Q$5, ""), "") &amp; " " &amp; _xlfn.IFNA(IF(AND(VLOOKUP(D55, 'Selection Lists'!$A$4:$B$17, 2, FALSE)&lt;1.5, INT(F55)&gt;45), $Q$6, ""), "") &amp; " " &amp; _xlfn.IFNA(IF(AND(OR(G55="X",H55="X"), OR(VLOOKUP(D55, 'Selection Lists'!$A$4:$B$17, 2, FALSE)&lt;0.75, INT(F55)&gt;45)), $Q$7, ""), "")</f>
        <v xml:space="preserve">  </v>
      </c>
    </row>
    <row r="56" spans="1:14" x14ac:dyDescent="0.2">
      <c r="A56" s="182"/>
      <c r="B56" s="156" t="s">
        <v>13</v>
      </c>
      <c r="C56" s="26"/>
      <c r="D56" s="27"/>
      <c r="E56" s="26"/>
      <c r="F56" s="28"/>
      <c r="G56" s="46"/>
      <c r="H56" s="29"/>
      <c r="I56" s="29"/>
      <c r="J56" s="29"/>
      <c r="K56" s="29"/>
      <c r="L56" s="176" t="str">
        <f t="shared" si="1"/>
        <v/>
      </c>
      <c r="M56" s="177" t="str">
        <f t="shared" si="2"/>
        <v/>
      </c>
      <c r="N56" s="175" t="str">
        <f>_xlfn.IFNA(IF(OR(L56&gt;50, OR(OR(VLOOKUP(D56,'Selection Lists'!$A$4:$B$17, 2, FALSE)&lt;3/8, VLOOKUP(D56, 'Selection Lists'!$A$4:$B$17, 2, FALSE)&gt;2)), OR(INT(F56)&lt;10, INT(F56)&gt;55)), $Q$5, ""), "") &amp; " " &amp; _xlfn.IFNA(IF(AND(VLOOKUP(D56, 'Selection Lists'!$A$4:$B$17, 2, FALSE)&lt;1.5, INT(F56)&gt;45), $Q$6, ""), "") &amp; " " &amp; _xlfn.IFNA(IF(AND(OR(G56="X",H56="X"), OR(VLOOKUP(D56, 'Selection Lists'!$A$4:$B$17, 2, FALSE)&lt;0.75, INT(F56)&gt;45)), $Q$7, ""), "")</f>
        <v xml:space="preserve">  </v>
      </c>
    </row>
    <row r="57" spans="1:14" ht="13.5" thickBot="1" x14ac:dyDescent="0.25">
      <c r="A57" s="183"/>
      <c r="B57" s="158" t="s">
        <v>14</v>
      </c>
      <c r="C57" s="35"/>
      <c r="D57" s="36"/>
      <c r="E57" s="35"/>
      <c r="F57" s="37"/>
      <c r="G57" s="47"/>
      <c r="H57" s="38"/>
      <c r="I57" s="38"/>
      <c r="J57" s="38"/>
      <c r="K57" s="38"/>
      <c r="L57" s="178" t="str">
        <f t="shared" si="1"/>
        <v/>
      </c>
      <c r="M57" s="179" t="str">
        <f t="shared" si="2"/>
        <v/>
      </c>
      <c r="N57" s="175" t="str">
        <f>_xlfn.IFNA(IF(OR(L57&gt;50, OR(OR(VLOOKUP(D57,'Selection Lists'!$A$4:$B$17, 2, FALSE)&lt;3/8, VLOOKUP(D57, 'Selection Lists'!$A$4:$B$17, 2, FALSE)&gt;2)), OR(INT(F57)&lt;10, INT(F57)&gt;55)), $Q$5, ""), "") &amp; " " &amp; _xlfn.IFNA(IF(AND(VLOOKUP(D57, 'Selection Lists'!$A$4:$B$17, 2, FALSE)&lt;1.5, INT(F57)&gt;45), $Q$6, ""), "") &amp; " " &amp; _xlfn.IFNA(IF(AND(OR(G57="X",H57="X"), OR(VLOOKUP(D57, 'Selection Lists'!$A$4:$B$17, 2, FALSE)&lt;0.75, INT(F57)&gt;45)), $Q$7, ""), "")</f>
        <v xml:space="preserve">  </v>
      </c>
    </row>
    <row r="58" spans="1:14" x14ac:dyDescent="0.2">
      <c r="A58" s="181">
        <v>19</v>
      </c>
      <c r="B58" s="154" t="s">
        <v>12</v>
      </c>
      <c r="C58" s="30"/>
      <c r="D58" s="31"/>
      <c r="E58" s="32"/>
      <c r="F58" s="33"/>
      <c r="G58" s="45"/>
      <c r="H58" s="34"/>
      <c r="I58" s="34"/>
      <c r="J58" s="34"/>
      <c r="K58" s="34"/>
      <c r="L58" s="173" t="str">
        <f t="shared" si="1"/>
        <v/>
      </c>
      <c r="M58" s="174" t="str">
        <f t="shared" si="2"/>
        <v/>
      </c>
      <c r="N58" s="175" t="str">
        <f>_xlfn.IFNA(IF(OR(L58&gt;50, OR(OR(VLOOKUP(D58,'Selection Lists'!$A$4:$B$17, 2, FALSE)&lt;3/8, VLOOKUP(D58, 'Selection Lists'!$A$4:$B$17, 2, FALSE)&gt;2)), OR(INT(F58)&lt;10, INT(F58)&gt;55)), $Q$5, ""), "") &amp; " " &amp; _xlfn.IFNA(IF(AND(VLOOKUP(D58, 'Selection Lists'!$A$4:$B$17, 2, FALSE)&lt;1.5, INT(F58)&gt;45), $Q$6, ""), "") &amp; " " &amp; _xlfn.IFNA(IF(AND(OR(G58="X",H58="X"), OR(VLOOKUP(D58, 'Selection Lists'!$A$4:$B$17, 2, FALSE)&lt;0.75, INT(F58)&gt;45)), $Q$7, ""), "")</f>
        <v xml:space="preserve">  </v>
      </c>
    </row>
    <row r="59" spans="1:14" x14ac:dyDescent="0.2">
      <c r="A59" s="182"/>
      <c r="B59" s="156" t="s">
        <v>13</v>
      </c>
      <c r="C59" s="26"/>
      <c r="D59" s="27"/>
      <c r="E59" s="26"/>
      <c r="F59" s="28"/>
      <c r="G59" s="46"/>
      <c r="H59" s="29"/>
      <c r="I59" s="29"/>
      <c r="J59" s="29"/>
      <c r="K59" s="29"/>
      <c r="L59" s="176" t="str">
        <f t="shared" si="1"/>
        <v/>
      </c>
      <c r="M59" s="177" t="str">
        <f t="shared" si="2"/>
        <v/>
      </c>
      <c r="N59" s="175" t="str">
        <f>_xlfn.IFNA(IF(OR(L59&gt;50, OR(OR(VLOOKUP(D59,'Selection Lists'!$A$4:$B$17, 2, FALSE)&lt;3/8, VLOOKUP(D59, 'Selection Lists'!$A$4:$B$17, 2, FALSE)&gt;2)), OR(INT(F59)&lt;10, INT(F59)&gt;55)), $Q$5, ""), "") &amp; " " &amp; _xlfn.IFNA(IF(AND(VLOOKUP(D59, 'Selection Lists'!$A$4:$B$17, 2, FALSE)&lt;1.5, INT(F59)&gt;45), $Q$6, ""), "") &amp; " " &amp; _xlfn.IFNA(IF(AND(OR(G59="X",H59="X"), OR(VLOOKUP(D59, 'Selection Lists'!$A$4:$B$17, 2, FALSE)&lt;0.75, INT(F59)&gt;45)), $Q$7, ""), "")</f>
        <v xml:space="preserve">  </v>
      </c>
    </row>
    <row r="60" spans="1:14" ht="13.5" thickBot="1" x14ac:dyDescent="0.25">
      <c r="A60" s="183"/>
      <c r="B60" s="158" t="s">
        <v>14</v>
      </c>
      <c r="C60" s="35"/>
      <c r="D60" s="36"/>
      <c r="E60" s="35"/>
      <c r="F60" s="37"/>
      <c r="G60" s="47"/>
      <c r="H60" s="38"/>
      <c r="I60" s="38"/>
      <c r="J60" s="38"/>
      <c r="K60" s="38"/>
      <c r="L60" s="178" t="str">
        <f t="shared" si="1"/>
        <v/>
      </c>
      <c r="M60" s="179" t="str">
        <f t="shared" si="2"/>
        <v/>
      </c>
      <c r="N60" s="175" t="str">
        <f>_xlfn.IFNA(IF(OR(L60&gt;50, OR(OR(VLOOKUP(D60,'Selection Lists'!$A$4:$B$17, 2, FALSE)&lt;3/8, VLOOKUP(D60, 'Selection Lists'!$A$4:$B$17, 2, FALSE)&gt;2)), OR(INT(F60)&lt;10, INT(F60)&gt;55)), $Q$5, ""), "") &amp; " " &amp; _xlfn.IFNA(IF(AND(VLOOKUP(D60, 'Selection Lists'!$A$4:$B$17, 2, FALSE)&lt;1.5, INT(F60)&gt;45), $Q$6, ""), "") &amp; " " &amp; _xlfn.IFNA(IF(AND(OR(G60="X",H60="X"), OR(VLOOKUP(D60, 'Selection Lists'!$A$4:$B$17, 2, FALSE)&lt;0.75, INT(F60)&gt;45)), $Q$7, ""), "")</f>
        <v xml:space="preserve">  </v>
      </c>
    </row>
    <row r="61" spans="1:14" x14ac:dyDescent="0.2">
      <c r="A61" s="181">
        <v>20</v>
      </c>
      <c r="B61" s="154" t="s">
        <v>12</v>
      </c>
      <c r="C61" s="30"/>
      <c r="D61" s="31"/>
      <c r="E61" s="32"/>
      <c r="F61" s="33"/>
      <c r="G61" s="45"/>
      <c r="H61" s="34"/>
      <c r="I61" s="34"/>
      <c r="J61" s="34"/>
      <c r="K61" s="34"/>
      <c r="L61" s="173" t="str">
        <f t="shared" si="1"/>
        <v/>
      </c>
      <c r="M61" s="174" t="str">
        <f t="shared" si="2"/>
        <v/>
      </c>
      <c r="N61" s="175" t="str">
        <f>_xlfn.IFNA(IF(OR(L61&gt;50, OR(OR(VLOOKUP(D61,'Selection Lists'!$A$4:$B$17, 2, FALSE)&lt;3/8, VLOOKUP(D61, 'Selection Lists'!$A$4:$B$17, 2, FALSE)&gt;2)), OR(INT(F61)&lt;10, INT(F61)&gt;55)), $Q$5, ""), "") &amp; " " &amp; _xlfn.IFNA(IF(AND(VLOOKUP(D61, 'Selection Lists'!$A$4:$B$17, 2, FALSE)&lt;1.5, INT(F61)&gt;45), $Q$6, ""), "") &amp; " " &amp; _xlfn.IFNA(IF(AND(OR(G61="X",H61="X"), OR(VLOOKUP(D61, 'Selection Lists'!$A$4:$B$17, 2, FALSE)&lt;0.75, INT(F61)&gt;45)), $Q$7, ""), "")</f>
        <v xml:space="preserve">  </v>
      </c>
    </row>
    <row r="62" spans="1:14" x14ac:dyDescent="0.2">
      <c r="A62" s="182"/>
      <c r="B62" s="156" t="s">
        <v>13</v>
      </c>
      <c r="C62" s="26"/>
      <c r="D62" s="27"/>
      <c r="E62" s="26"/>
      <c r="F62" s="28"/>
      <c r="G62" s="46"/>
      <c r="H62" s="29"/>
      <c r="I62" s="29"/>
      <c r="J62" s="29"/>
      <c r="K62" s="29"/>
      <c r="L62" s="176" t="str">
        <f t="shared" si="1"/>
        <v/>
      </c>
      <c r="M62" s="177" t="str">
        <f t="shared" si="2"/>
        <v/>
      </c>
      <c r="N62" s="175" t="str">
        <f>_xlfn.IFNA(IF(OR(L62&gt;50, OR(OR(VLOOKUP(D62,'Selection Lists'!$A$4:$B$17, 2, FALSE)&lt;3/8, VLOOKUP(D62, 'Selection Lists'!$A$4:$B$17, 2, FALSE)&gt;2)), OR(INT(F62)&lt;10, INT(F62)&gt;55)), $Q$5, ""), "") &amp; " " &amp; _xlfn.IFNA(IF(AND(VLOOKUP(D62, 'Selection Lists'!$A$4:$B$17, 2, FALSE)&lt;1.5, INT(F62)&gt;45), $Q$6, ""), "") &amp; " " &amp; _xlfn.IFNA(IF(AND(OR(G62="X",H62="X"), OR(VLOOKUP(D62, 'Selection Lists'!$A$4:$B$17, 2, FALSE)&lt;0.75, INT(F62)&gt;45)), $Q$7, ""), "")</f>
        <v xml:space="preserve">  </v>
      </c>
    </row>
    <row r="63" spans="1:14" ht="13.5" thickBot="1" x14ac:dyDescent="0.25">
      <c r="A63" s="183"/>
      <c r="B63" s="158" t="s">
        <v>14</v>
      </c>
      <c r="C63" s="35"/>
      <c r="D63" s="36"/>
      <c r="E63" s="35"/>
      <c r="F63" s="37"/>
      <c r="G63" s="47"/>
      <c r="H63" s="38"/>
      <c r="I63" s="38"/>
      <c r="J63" s="38"/>
      <c r="K63" s="38"/>
      <c r="L63" s="178" t="str">
        <f t="shared" si="1"/>
        <v/>
      </c>
      <c r="M63" s="179" t="str">
        <f t="shared" si="2"/>
        <v/>
      </c>
      <c r="N63" s="175" t="str">
        <f>_xlfn.IFNA(IF(OR(L63&gt;50, OR(OR(VLOOKUP(D63,'Selection Lists'!$A$4:$B$17, 2, FALSE)&lt;3/8, VLOOKUP(D63, 'Selection Lists'!$A$4:$B$17, 2, FALSE)&gt;2)), OR(INT(F63)&lt;10, INT(F63)&gt;55)), $Q$5, ""), "") &amp; " " &amp; _xlfn.IFNA(IF(AND(VLOOKUP(D63, 'Selection Lists'!$A$4:$B$17, 2, FALSE)&lt;1.5, INT(F63)&gt;45), $Q$6, ""), "") &amp; " " &amp; _xlfn.IFNA(IF(AND(OR(G63="X",H63="X"), OR(VLOOKUP(D63, 'Selection Lists'!$A$4:$B$17, 2, FALSE)&lt;0.75, INT(F63)&gt;45)), $Q$7, ""), "")</f>
        <v xml:space="preserve">  </v>
      </c>
    </row>
    <row r="64" spans="1:14" x14ac:dyDescent="0.2">
      <c r="A64" s="181">
        <v>21</v>
      </c>
      <c r="B64" s="154" t="s">
        <v>12</v>
      </c>
      <c r="C64" s="30"/>
      <c r="D64" s="31"/>
      <c r="E64" s="32"/>
      <c r="F64" s="33"/>
      <c r="G64" s="45"/>
      <c r="H64" s="34"/>
      <c r="I64" s="34"/>
      <c r="J64" s="34"/>
      <c r="K64" s="34"/>
      <c r="L64" s="173" t="str">
        <f t="shared" si="1"/>
        <v/>
      </c>
      <c r="M64" s="174" t="str">
        <f t="shared" si="2"/>
        <v/>
      </c>
      <c r="N64" s="175" t="str">
        <f>_xlfn.IFNA(IF(OR(L64&gt;50, OR(OR(VLOOKUP(D64,'Selection Lists'!$A$4:$B$17, 2, FALSE)&lt;3/8, VLOOKUP(D64, 'Selection Lists'!$A$4:$B$17, 2, FALSE)&gt;2)), OR(INT(F64)&lt;10, INT(F64)&gt;55)), $Q$5, ""), "") &amp; " " &amp; _xlfn.IFNA(IF(AND(VLOOKUP(D64, 'Selection Lists'!$A$4:$B$17, 2, FALSE)&lt;1.5, INT(F64)&gt;45), $Q$6, ""), "") &amp; " " &amp; _xlfn.IFNA(IF(AND(OR(G64="X",H64="X"), OR(VLOOKUP(D64, 'Selection Lists'!$A$4:$B$17, 2, FALSE)&lt;0.75, INT(F64)&gt;45)), $Q$7, ""), "")</f>
        <v xml:space="preserve">  </v>
      </c>
    </row>
    <row r="65" spans="1:14" x14ac:dyDescent="0.2">
      <c r="A65" s="182"/>
      <c r="B65" s="156" t="s">
        <v>13</v>
      </c>
      <c r="C65" s="26"/>
      <c r="D65" s="27"/>
      <c r="E65" s="26"/>
      <c r="F65" s="28"/>
      <c r="G65" s="46"/>
      <c r="H65" s="29"/>
      <c r="I65" s="29"/>
      <c r="J65" s="29"/>
      <c r="K65" s="29"/>
      <c r="L65" s="176" t="str">
        <f t="shared" si="1"/>
        <v/>
      </c>
      <c r="M65" s="177" t="str">
        <f t="shared" si="2"/>
        <v/>
      </c>
      <c r="N65" s="175" t="str">
        <f>_xlfn.IFNA(IF(OR(L65&gt;50, OR(OR(VLOOKUP(D65,'Selection Lists'!$A$4:$B$17, 2, FALSE)&lt;3/8, VLOOKUP(D65, 'Selection Lists'!$A$4:$B$17, 2, FALSE)&gt;2)), OR(INT(F65)&lt;10, INT(F65)&gt;55)), $Q$5, ""), "") &amp; " " &amp; _xlfn.IFNA(IF(AND(VLOOKUP(D65, 'Selection Lists'!$A$4:$B$17, 2, FALSE)&lt;1.5, INT(F65)&gt;45), $Q$6, ""), "") &amp; " " &amp; _xlfn.IFNA(IF(AND(OR(G65="X",H65="X"), OR(VLOOKUP(D65, 'Selection Lists'!$A$4:$B$17, 2, FALSE)&lt;0.75, INT(F65)&gt;45)), $Q$7, ""), "")</f>
        <v xml:space="preserve">  </v>
      </c>
    </row>
    <row r="66" spans="1:14" ht="13.5" thickBot="1" x14ac:dyDescent="0.25">
      <c r="A66" s="183"/>
      <c r="B66" s="158" t="s">
        <v>14</v>
      </c>
      <c r="C66" s="35"/>
      <c r="D66" s="36"/>
      <c r="E66" s="35"/>
      <c r="F66" s="37"/>
      <c r="G66" s="47"/>
      <c r="H66" s="38"/>
      <c r="I66" s="38"/>
      <c r="J66" s="38"/>
      <c r="K66" s="38"/>
      <c r="L66" s="178" t="str">
        <f t="shared" si="1"/>
        <v/>
      </c>
      <c r="M66" s="179" t="str">
        <f t="shared" si="2"/>
        <v/>
      </c>
      <c r="N66" s="175" t="str">
        <f>_xlfn.IFNA(IF(OR(L66&gt;50, OR(OR(VLOOKUP(D66,'Selection Lists'!$A$4:$B$17, 2, FALSE)&lt;3/8, VLOOKUP(D66, 'Selection Lists'!$A$4:$B$17, 2, FALSE)&gt;2)), OR(INT(F66)&lt;10, INT(F66)&gt;55)), $Q$5, ""), "") &amp; " " &amp; _xlfn.IFNA(IF(AND(VLOOKUP(D66, 'Selection Lists'!$A$4:$B$17, 2, FALSE)&lt;1.5, INT(F66)&gt;45), $Q$6, ""), "") &amp; " " &amp; _xlfn.IFNA(IF(AND(OR(G66="X",H66="X"), OR(VLOOKUP(D66, 'Selection Lists'!$A$4:$B$17, 2, FALSE)&lt;0.75, INT(F66)&gt;45)), $Q$7, ""), "")</f>
        <v xml:space="preserve">  </v>
      </c>
    </row>
    <row r="67" spans="1:14" x14ac:dyDescent="0.2">
      <c r="A67" s="181">
        <v>22</v>
      </c>
      <c r="B67" s="154" t="s">
        <v>12</v>
      </c>
      <c r="C67" s="30"/>
      <c r="D67" s="31"/>
      <c r="E67" s="32"/>
      <c r="F67" s="33"/>
      <c r="G67" s="45"/>
      <c r="H67" s="34"/>
      <c r="I67" s="34"/>
      <c r="J67" s="34"/>
      <c r="K67" s="34"/>
      <c r="L67" s="173" t="str">
        <f t="shared" si="1"/>
        <v/>
      </c>
      <c r="M67" s="174" t="str">
        <f t="shared" si="2"/>
        <v/>
      </c>
      <c r="N67" s="175" t="str">
        <f>_xlfn.IFNA(IF(OR(L67&gt;50, OR(OR(VLOOKUP(D67,'Selection Lists'!$A$4:$B$17, 2, FALSE)&lt;3/8, VLOOKUP(D67, 'Selection Lists'!$A$4:$B$17, 2, FALSE)&gt;2)), OR(INT(F67)&lt;10, INT(F67)&gt;55)), $Q$5, ""), "") &amp; " " &amp; _xlfn.IFNA(IF(AND(VLOOKUP(D67, 'Selection Lists'!$A$4:$B$17, 2, FALSE)&lt;1.5, INT(F67)&gt;45), $Q$6, ""), "") &amp; " " &amp; _xlfn.IFNA(IF(AND(OR(G67="X",H67="X"), OR(VLOOKUP(D67, 'Selection Lists'!$A$4:$B$17, 2, FALSE)&lt;0.75, INT(F67)&gt;45)), $Q$7, ""), "")</f>
        <v xml:space="preserve">  </v>
      </c>
    </row>
    <row r="68" spans="1:14" x14ac:dyDescent="0.2">
      <c r="A68" s="182"/>
      <c r="B68" s="156" t="s">
        <v>13</v>
      </c>
      <c r="C68" s="26"/>
      <c r="D68" s="27"/>
      <c r="E68" s="26"/>
      <c r="F68" s="28"/>
      <c r="G68" s="46"/>
      <c r="H68" s="29"/>
      <c r="I68" s="29"/>
      <c r="J68" s="29"/>
      <c r="K68" s="29"/>
      <c r="L68" s="176" t="str">
        <f t="shared" si="1"/>
        <v/>
      </c>
      <c r="M68" s="177" t="str">
        <f t="shared" ref="M68:M93" si="3">IFERROR((F68/D68)*(1+IF(G68="X", 0.75, 0) +IF(H68="X", 0.5, 0) + IF(I68="X", 0.25, 0) + IF(J68="X", 0.25, 0) + IF(K68="X", 0.25, 0)+IF(F68&gt;45, 0.125, 0)), "")</f>
        <v/>
      </c>
      <c r="N68" s="175" t="str">
        <f>_xlfn.IFNA(IF(OR(L68&gt;50, OR(OR(VLOOKUP(D68,'Selection Lists'!$A$4:$B$17, 2, FALSE)&lt;3/8, VLOOKUP(D68, 'Selection Lists'!$A$4:$B$17, 2, FALSE)&gt;2)), OR(INT(F68)&lt;10, INT(F68)&gt;55)), $Q$5, ""), "") &amp; " " &amp; _xlfn.IFNA(IF(AND(VLOOKUP(D68, 'Selection Lists'!$A$4:$B$17, 2, FALSE)&lt;1.5, INT(F68)&gt;45), $Q$6, ""), "") &amp; " " &amp; _xlfn.IFNA(IF(AND(OR(G68="X",H68="X"), OR(VLOOKUP(D68, 'Selection Lists'!$A$4:$B$17, 2, FALSE)&lt;0.75, INT(F68)&gt;45)), $Q$7, ""), "")</f>
        <v xml:space="preserve">  </v>
      </c>
    </row>
    <row r="69" spans="1:14" ht="13.5" thickBot="1" x14ac:dyDescent="0.25">
      <c r="A69" s="183"/>
      <c r="B69" s="158" t="s">
        <v>14</v>
      </c>
      <c r="C69" s="35"/>
      <c r="D69" s="36"/>
      <c r="E69" s="35"/>
      <c r="F69" s="37"/>
      <c r="G69" s="47"/>
      <c r="H69" s="38"/>
      <c r="I69" s="38"/>
      <c r="J69" s="38"/>
      <c r="K69" s="38"/>
      <c r="L69" s="178" t="str">
        <f t="shared" ref="L69:L93" si="4">IFERROR((F69/D69)*(1+IF(G69="X", 0.75, 0) +IF(H69="X", 0.5, 0) + IF(I69="X", 0.25, 0) +IF(F69&gt;45, 0.125, 0)), "")</f>
        <v/>
      </c>
      <c r="M69" s="179" t="str">
        <f t="shared" si="3"/>
        <v/>
      </c>
      <c r="N69" s="175" t="str">
        <f>_xlfn.IFNA(IF(OR(L69&gt;50, OR(OR(VLOOKUP(D69,'Selection Lists'!$A$4:$B$17, 2, FALSE)&lt;3/8, VLOOKUP(D69, 'Selection Lists'!$A$4:$B$17, 2, FALSE)&gt;2)), OR(INT(F69)&lt;10, INT(F69)&gt;55)), $Q$5, ""), "") &amp; " " &amp; _xlfn.IFNA(IF(AND(VLOOKUP(D69, 'Selection Lists'!$A$4:$B$17, 2, FALSE)&lt;1.5, INT(F69)&gt;45), $Q$6, ""), "") &amp; " " &amp; _xlfn.IFNA(IF(AND(OR(G69="X",H69="X"), OR(VLOOKUP(D69, 'Selection Lists'!$A$4:$B$17, 2, FALSE)&lt;0.75, INT(F69)&gt;45)), $Q$7, ""), "")</f>
        <v xml:space="preserve">  </v>
      </c>
    </row>
    <row r="70" spans="1:14" x14ac:dyDescent="0.2">
      <c r="A70" s="181">
        <v>23</v>
      </c>
      <c r="B70" s="154" t="s">
        <v>12</v>
      </c>
      <c r="C70" s="30"/>
      <c r="D70" s="31"/>
      <c r="E70" s="32"/>
      <c r="F70" s="33"/>
      <c r="G70" s="45"/>
      <c r="H70" s="34"/>
      <c r="I70" s="34"/>
      <c r="J70" s="34"/>
      <c r="K70" s="34"/>
      <c r="L70" s="173" t="str">
        <f t="shared" si="4"/>
        <v/>
      </c>
      <c r="M70" s="174" t="str">
        <f t="shared" si="3"/>
        <v/>
      </c>
      <c r="N70" s="175" t="str">
        <f>_xlfn.IFNA(IF(OR(L70&gt;50, OR(OR(VLOOKUP(D70,'Selection Lists'!$A$4:$B$17, 2, FALSE)&lt;3/8, VLOOKUP(D70, 'Selection Lists'!$A$4:$B$17, 2, FALSE)&gt;2)), OR(INT(F70)&lt;10, INT(F70)&gt;55)), $Q$5, ""), "") &amp; " " &amp; _xlfn.IFNA(IF(AND(VLOOKUP(D70, 'Selection Lists'!$A$4:$B$17, 2, FALSE)&lt;1.5, INT(F70)&gt;45), $Q$6, ""), "") &amp; " " &amp; _xlfn.IFNA(IF(AND(OR(G70="X",H70="X"), OR(VLOOKUP(D70, 'Selection Lists'!$A$4:$B$17, 2, FALSE)&lt;0.75, INT(F70)&gt;45)), $Q$7, ""), "")</f>
        <v xml:space="preserve">  </v>
      </c>
    </row>
    <row r="71" spans="1:14" x14ac:dyDescent="0.2">
      <c r="A71" s="182"/>
      <c r="B71" s="156" t="s">
        <v>13</v>
      </c>
      <c r="C71" s="26"/>
      <c r="D71" s="27"/>
      <c r="E71" s="26"/>
      <c r="F71" s="28"/>
      <c r="G71" s="46"/>
      <c r="H71" s="29"/>
      <c r="I71" s="29"/>
      <c r="J71" s="29"/>
      <c r="K71" s="29"/>
      <c r="L71" s="176" t="str">
        <f t="shared" si="4"/>
        <v/>
      </c>
      <c r="M71" s="177" t="str">
        <f t="shared" si="3"/>
        <v/>
      </c>
      <c r="N71" s="175" t="str">
        <f>_xlfn.IFNA(IF(OR(L71&gt;50, OR(OR(VLOOKUP(D71,'Selection Lists'!$A$4:$B$17, 2, FALSE)&lt;3/8, VLOOKUP(D71, 'Selection Lists'!$A$4:$B$17, 2, FALSE)&gt;2)), OR(INT(F71)&lt;10, INT(F71)&gt;55)), $Q$5, ""), "") &amp; " " &amp; _xlfn.IFNA(IF(AND(VLOOKUP(D71, 'Selection Lists'!$A$4:$B$17, 2, FALSE)&lt;1.5, INT(F71)&gt;45), $Q$6, ""), "") &amp; " " &amp; _xlfn.IFNA(IF(AND(OR(G71="X",H71="X"), OR(VLOOKUP(D71, 'Selection Lists'!$A$4:$B$17, 2, FALSE)&lt;0.75, INT(F71)&gt;45)), $Q$7, ""), "")</f>
        <v xml:space="preserve">  </v>
      </c>
    </row>
    <row r="72" spans="1:14" ht="13.5" thickBot="1" x14ac:dyDescent="0.25">
      <c r="A72" s="183"/>
      <c r="B72" s="158" t="s">
        <v>14</v>
      </c>
      <c r="C72" s="35"/>
      <c r="D72" s="36"/>
      <c r="E72" s="35"/>
      <c r="F72" s="37"/>
      <c r="G72" s="47"/>
      <c r="H72" s="38"/>
      <c r="I72" s="38"/>
      <c r="J72" s="38"/>
      <c r="K72" s="38"/>
      <c r="L72" s="178" t="str">
        <f t="shared" si="4"/>
        <v/>
      </c>
      <c r="M72" s="179" t="str">
        <f t="shared" si="3"/>
        <v/>
      </c>
      <c r="N72" s="175" t="str">
        <f>_xlfn.IFNA(IF(OR(L72&gt;50, OR(OR(VLOOKUP(D72,'Selection Lists'!$A$4:$B$17, 2, FALSE)&lt;3/8, VLOOKUP(D72, 'Selection Lists'!$A$4:$B$17, 2, FALSE)&gt;2)), OR(INT(F72)&lt;10, INT(F72)&gt;55)), $Q$5, ""), "") &amp; " " &amp; _xlfn.IFNA(IF(AND(VLOOKUP(D72, 'Selection Lists'!$A$4:$B$17, 2, FALSE)&lt;1.5, INT(F72)&gt;45), $Q$6, ""), "") &amp; " " &amp; _xlfn.IFNA(IF(AND(OR(G72="X",H72="X"), OR(VLOOKUP(D72, 'Selection Lists'!$A$4:$B$17, 2, FALSE)&lt;0.75, INT(F72)&gt;45)), $Q$7, ""), "")</f>
        <v xml:space="preserve">  </v>
      </c>
    </row>
    <row r="73" spans="1:14" x14ac:dyDescent="0.2">
      <c r="A73" s="181">
        <v>24</v>
      </c>
      <c r="B73" s="154" t="s">
        <v>12</v>
      </c>
      <c r="C73" s="30"/>
      <c r="D73" s="31"/>
      <c r="E73" s="32"/>
      <c r="F73" s="33"/>
      <c r="G73" s="45"/>
      <c r="H73" s="34"/>
      <c r="I73" s="34"/>
      <c r="J73" s="34"/>
      <c r="K73" s="34"/>
      <c r="L73" s="173" t="str">
        <f t="shared" si="4"/>
        <v/>
      </c>
      <c r="M73" s="174" t="str">
        <f t="shared" si="3"/>
        <v/>
      </c>
      <c r="N73" s="175" t="str">
        <f>_xlfn.IFNA(IF(OR(L73&gt;50, OR(OR(VLOOKUP(D73,'Selection Lists'!$A$4:$B$17, 2, FALSE)&lt;3/8, VLOOKUP(D73, 'Selection Lists'!$A$4:$B$17, 2, FALSE)&gt;2)), OR(INT(F73)&lt;10, INT(F73)&gt;55)), $Q$5, ""), "") &amp; " " &amp; _xlfn.IFNA(IF(AND(VLOOKUP(D73, 'Selection Lists'!$A$4:$B$17, 2, FALSE)&lt;1.5, INT(F73)&gt;45), $Q$6, ""), "") &amp; " " &amp; _xlfn.IFNA(IF(AND(OR(G73="X",H73="X"), OR(VLOOKUP(D73, 'Selection Lists'!$A$4:$B$17, 2, FALSE)&lt;0.75, INT(F73)&gt;45)), $Q$7, ""), "")</f>
        <v xml:space="preserve">  </v>
      </c>
    </row>
    <row r="74" spans="1:14" x14ac:dyDescent="0.2">
      <c r="A74" s="182"/>
      <c r="B74" s="156" t="s">
        <v>13</v>
      </c>
      <c r="C74" s="26"/>
      <c r="D74" s="27"/>
      <c r="E74" s="26"/>
      <c r="F74" s="28"/>
      <c r="G74" s="46"/>
      <c r="H74" s="29"/>
      <c r="I74" s="29"/>
      <c r="J74" s="29"/>
      <c r="K74" s="29"/>
      <c r="L74" s="176" t="str">
        <f t="shared" si="4"/>
        <v/>
      </c>
      <c r="M74" s="177" t="str">
        <f t="shared" si="3"/>
        <v/>
      </c>
      <c r="N74" s="175" t="str">
        <f>_xlfn.IFNA(IF(OR(L74&gt;50, OR(OR(VLOOKUP(D74,'Selection Lists'!$A$4:$B$17, 2, FALSE)&lt;3/8, VLOOKUP(D74, 'Selection Lists'!$A$4:$B$17, 2, FALSE)&gt;2)), OR(INT(F74)&lt;10, INT(F74)&gt;55)), $Q$5, ""), "") &amp; " " &amp; _xlfn.IFNA(IF(AND(VLOOKUP(D74, 'Selection Lists'!$A$4:$B$17, 2, FALSE)&lt;1.5, INT(F74)&gt;45), $Q$6, ""), "") &amp; " " &amp; _xlfn.IFNA(IF(AND(OR(G74="X",H74="X"), OR(VLOOKUP(D74, 'Selection Lists'!$A$4:$B$17, 2, FALSE)&lt;0.75, INT(F74)&gt;45)), $Q$7, ""), "")</f>
        <v xml:space="preserve">  </v>
      </c>
    </row>
    <row r="75" spans="1:14" ht="13.5" thickBot="1" x14ac:dyDescent="0.25">
      <c r="A75" s="183"/>
      <c r="B75" s="158" t="s">
        <v>14</v>
      </c>
      <c r="C75" s="35"/>
      <c r="D75" s="36"/>
      <c r="E75" s="35"/>
      <c r="F75" s="37"/>
      <c r="G75" s="47"/>
      <c r="H75" s="38"/>
      <c r="I75" s="38"/>
      <c r="J75" s="38"/>
      <c r="K75" s="38"/>
      <c r="L75" s="178" t="str">
        <f t="shared" si="4"/>
        <v/>
      </c>
      <c r="M75" s="179" t="str">
        <f t="shared" si="3"/>
        <v/>
      </c>
      <c r="N75" s="175" t="str">
        <f>_xlfn.IFNA(IF(OR(L75&gt;50, OR(OR(VLOOKUP(D75,'Selection Lists'!$A$4:$B$17, 2, FALSE)&lt;3/8, VLOOKUP(D75, 'Selection Lists'!$A$4:$B$17, 2, FALSE)&gt;2)), OR(INT(F75)&lt;10, INT(F75)&gt;55)), $Q$5, ""), "") &amp; " " &amp; _xlfn.IFNA(IF(AND(VLOOKUP(D75, 'Selection Lists'!$A$4:$B$17, 2, FALSE)&lt;1.5, INT(F75)&gt;45), $Q$6, ""), "") &amp; " " &amp; _xlfn.IFNA(IF(AND(OR(G75="X",H75="X"), OR(VLOOKUP(D75, 'Selection Lists'!$A$4:$B$17, 2, FALSE)&lt;0.75, INT(F75)&gt;45)), $Q$7, ""), "")</f>
        <v xml:space="preserve">  </v>
      </c>
    </row>
    <row r="76" spans="1:14" x14ac:dyDescent="0.2">
      <c r="A76" s="181">
        <v>25</v>
      </c>
      <c r="B76" s="154" t="s">
        <v>12</v>
      </c>
      <c r="C76" s="30"/>
      <c r="D76" s="31"/>
      <c r="E76" s="32"/>
      <c r="F76" s="33"/>
      <c r="G76" s="45"/>
      <c r="H76" s="34"/>
      <c r="I76" s="34"/>
      <c r="J76" s="34"/>
      <c r="K76" s="34"/>
      <c r="L76" s="173" t="str">
        <f t="shared" si="4"/>
        <v/>
      </c>
      <c r="M76" s="174" t="str">
        <f t="shared" si="3"/>
        <v/>
      </c>
      <c r="N76" s="175" t="str">
        <f>_xlfn.IFNA(IF(OR(L76&gt;50, OR(OR(VLOOKUP(D76,'Selection Lists'!$A$4:$B$17, 2, FALSE)&lt;3/8, VLOOKUP(D76, 'Selection Lists'!$A$4:$B$17, 2, FALSE)&gt;2)), OR(INT(F76)&lt;10, INT(F76)&gt;55)), $Q$5, ""), "") &amp; " " &amp; _xlfn.IFNA(IF(AND(VLOOKUP(D76, 'Selection Lists'!$A$4:$B$17, 2, FALSE)&lt;1.5, INT(F76)&gt;45), $Q$6, ""), "") &amp; " " &amp; _xlfn.IFNA(IF(AND(OR(G76="X",H76="X"), OR(VLOOKUP(D76, 'Selection Lists'!$A$4:$B$17, 2, FALSE)&lt;0.75, INT(F76)&gt;45)), $Q$7, ""), "")</f>
        <v xml:space="preserve">  </v>
      </c>
    </row>
    <row r="77" spans="1:14" x14ac:dyDescent="0.2">
      <c r="A77" s="182"/>
      <c r="B77" s="156" t="s">
        <v>13</v>
      </c>
      <c r="C77" s="26"/>
      <c r="D77" s="27"/>
      <c r="E77" s="26"/>
      <c r="F77" s="28"/>
      <c r="G77" s="46"/>
      <c r="H77" s="29"/>
      <c r="I77" s="29"/>
      <c r="J77" s="29"/>
      <c r="K77" s="29"/>
      <c r="L77" s="176" t="str">
        <f t="shared" si="4"/>
        <v/>
      </c>
      <c r="M77" s="177" t="str">
        <f t="shared" si="3"/>
        <v/>
      </c>
      <c r="N77" s="175" t="str">
        <f>_xlfn.IFNA(IF(OR(L77&gt;50, OR(OR(VLOOKUP(D77,'Selection Lists'!$A$4:$B$17, 2, FALSE)&lt;3/8, VLOOKUP(D77, 'Selection Lists'!$A$4:$B$17, 2, FALSE)&gt;2)), OR(INT(F77)&lt;10, INT(F77)&gt;55)), $Q$5, ""), "") &amp; " " &amp; _xlfn.IFNA(IF(AND(VLOOKUP(D77, 'Selection Lists'!$A$4:$B$17, 2, FALSE)&lt;1.5, INT(F77)&gt;45), $Q$6, ""), "") &amp; " " &amp; _xlfn.IFNA(IF(AND(OR(G77="X",H77="X"), OR(VLOOKUP(D77, 'Selection Lists'!$A$4:$B$17, 2, FALSE)&lt;0.75, INT(F77)&gt;45)), $Q$7, ""), "")</f>
        <v xml:space="preserve">  </v>
      </c>
    </row>
    <row r="78" spans="1:14" ht="13.5" thickBot="1" x14ac:dyDescent="0.25">
      <c r="A78" s="183"/>
      <c r="B78" s="158" t="s">
        <v>14</v>
      </c>
      <c r="C78" s="35"/>
      <c r="D78" s="36"/>
      <c r="E78" s="35"/>
      <c r="F78" s="37"/>
      <c r="G78" s="47"/>
      <c r="H78" s="38"/>
      <c r="I78" s="38"/>
      <c r="J78" s="38"/>
      <c r="K78" s="38"/>
      <c r="L78" s="178" t="str">
        <f t="shared" si="4"/>
        <v/>
      </c>
      <c r="M78" s="179" t="str">
        <f t="shared" si="3"/>
        <v/>
      </c>
      <c r="N78" s="175" t="str">
        <f>_xlfn.IFNA(IF(OR(L78&gt;50, OR(OR(VLOOKUP(D78,'Selection Lists'!$A$4:$B$17, 2, FALSE)&lt;3/8, VLOOKUP(D78, 'Selection Lists'!$A$4:$B$17, 2, FALSE)&gt;2)), OR(INT(F78)&lt;10, INT(F78)&gt;55)), $Q$5, ""), "") &amp; " " &amp; _xlfn.IFNA(IF(AND(VLOOKUP(D78, 'Selection Lists'!$A$4:$B$17, 2, FALSE)&lt;1.5, INT(F78)&gt;45), $Q$6, ""), "") &amp; " " &amp; _xlfn.IFNA(IF(AND(OR(G78="X",H78="X"), OR(VLOOKUP(D78, 'Selection Lists'!$A$4:$B$17, 2, FALSE)&lt;0.75, INT(F78)&gt;45)), $Q$7, ""), "")</f>
        <v xml:space="preserve">  </v>
      </c>
    </row>
    <row r="79" spans="1:14" x14ac:dyDescent="0.2">
      <c r="A79" s="181">
        <v>26</v>
      </c>
      <c r="B79" s="154" t="s">
        <v>12</v>
      </c>
      <c r="C79" s="30"/>
      <c r="D79" s="31"/>
      <c r="E79" s="32"/>
      <c r="F79" s="33"/>
      <c r="G79" s="45"/>
      <c r="H79" s="34"/>
      <c r="I79" s="34"/>
      <c r="J79" s="34"/>
      <c r="K79" s="34"/>
      <c r="L79" s="173" t="str">
        <f t="shared" si="4"/>
        <v/>
      </c>
      <c r="M79" s="174" t="str">
        <f t="shared" si="3"/>
        <v/>
      </c>
      <c r="N79" s="175" t="str">
        <f>_xlfn.IFNA(IF(OR(L79&gt;50, OR(OR(VLOOKUP(D79,'Selection Lists'!$A$4:$B$17, 2, FALSE)&lt;3/8, VLOOKUP(D79, 'Selection Lists'!$A$4:$B$17, 2, FALSE)&gt;2)), OR(INT(F79)&lt;10, INT(F79)&gt;55)), $Q$5, ""), "") &amp; " " &amp; _xlfn.IFNA(IF(AND(VLOOKUP(D79, 'Selection Lists'!$A$4:$B$17, 2, FALSE)&lt;1.5, INT(F79)&gt;45), $Q$6, ""), "") &amp; " " &amp; _xlfn.IFNA(IF(AND(OR(G79="X",H79="X"), OR(VLOOKUP(D79, 'Selection Lists'!$A$4:$B$17, 2, FALSE)&lt;0.75, INT(F79)&gt;45)), $Q$7, ""), "")</f>
        <v xml:space="preserve">  </v>
      </c>
    </row>
    <row r="80" spans="1:14" x14ac:dyDescent="0.2">
      <c r="A80" s="182"/>
      <c r="B80" s="156" t="s">
        <v>13</v>
      </c>
      <c r="C80" s="26"/>
      <c r="D80" s="27"/>
      <c r="E80" s="26"/>
      <c r="F80" s="28"/>
      <c r="G80" s="46"/>
      <c r="H80" s="29"/>
      <c r="I80" s="29"/>
      <c r="J80" s="29"/>
      <c r="K80" s="29"/>
      <c r="L80" s="176" t="str">
        <f t="shared" si="4"/>
        <v/>
      </c>
      <c r="M80" s="177" t="str">
        <f t="shared" si="3"/>
        <v/>
      </c>
      <c r="N80" s="175" t="str">
        <f>_xlfn.IFNA(IF(OR(L80&gt;50, OR(OR(VLOOKUP(D80,'Selection Lists'!$A$4:$B$17, 2, FALSE)&lt;3/8, VLOOKUP(D80, 'Selection Lists'!$A$4:$B$17, 2, FALSE)&gt;2)), OR(INT(F80)&lt;10, INT(F80)&gt;55)), $Q$5, ""), "") &amp; " " &amp; _xlfn.IFNA(IF(AND(VLOOKUP(D80, 'Selection Lists'!$A$4:$B$17, 2, FALSE)&lt;1.5, INT(F80)&gt;45), $Q$6, ""), "") &amp; " " &amp; _xlfn.IFNA(IF(AND(OR(G80="X",H80="X"), OR(VLOOKUP(D80, 'Selection Lists'!$A$4:$B$17, 2, FALSE)&lt;0.75, INT(F80)&gt;45)), $Q$7, ""), "")</f>
        <v xml:space="preserve">  </v>
      </c>
    </row>
    <row r="81" spans="1:14" ht="13.5" thickBot="1" x14ac:dyDescent="0.25">
      <c r="A81" s="183"/>
      <c r="B81" s="158" t="s">
        <v>14</v>
      </c>
      <c r="C81" s="35"/>
      <c r="D81" s="36"/>
      <c r="E81" s="35"/>
      <c r="F81" s="37"/>
      <c r="G81" s="47"/>
      <c r="H81" s="38"/>
      <c r="I81" s="38"/>
      <c r="J81" s="38"/>
      <c r="K81" s="38"/>
      <c r="L81" s="178" t="str">
        <f t="shared" si="4"/>
        <v/>
      </c>
      <c r="M81" s="179" t="str">
        <f t="shared" si="3"/>
        <v/>
      </c>
      <c r="N81" s="175" t="str">
        <f>_xlfn.IFNA(IF(OR(L81&gt;50, OR(OR(VLOOKUP(D81,'Selection Lists'!$A$4:$B$17, 2, FALSE)&lt;3/8, VLOOKUP(D81, 'Selection Lists'!$A$4:$B$17, 2, FALSE)&gt;2)), OR(INT(F81)&lt;10, INT(F81)&gt;55)), $Q$5, ""), "") &amp; " " &amp; _xlfn.IFNA(IF(AND(VLOOKUP(D81, 'Selection Lists'!$A$4:$B$17, 2, FALSE)&lt;1.5, INT(F81)&gt;45), $Q$6, ""), "") &amp; " " &amp; _xlfn.IFNA(IF(AND(OR(G81="X",H81="X"), OR(VLOOKUP(D81, 'Selection Lists'!$A$4:$B$17, 2, FALSE)&lt;0.75, INT(F81)&gt;45)), $Q$7, ""), "")</f>
        <v xml:space="preserve">  </v>
      </c>
    </row>
    <row r="82" spans="1:14" x14ac:dyDescent="0.2">
      <c r="A82" s="181">
        <v>27</v>
      </c>
      <c r="B82" s="154" t="s">
        <v>12</v>
      </c>
      <c r="C82" s="30"/>
      <c r="D82" s="31"/>
      <c r="E82" s="32"/>
      <c r="F82" s="33"/>
      <c r="G82" s="45"/>
      <c r="H82" s="34"/>
      <c r="I82" s="34"/>
      <c r="J82" s="34"/>
      <c r="K82" s="34"/>
      <c r="L82" s="173" t="str">
        <f t="shared" si="4"/>
        <v/>
      </c>
      <c r="M82" s="174" t="str">
        <f t="shared" si="3"/>
        <v/>
      </c>
      <c r="N82" s="175" t="str">
        <f>_xlfn.IFNA(IF(OR(L82&gt;50, OR(OR(VLOOKUP(D82,'Selection Lists'!$A$4:$B$17, 2, FALSE)&lt;3/8, VLOOKUP(D82, 'Selection Lists'!$A$4:$B$17, 2, FALSE)&gt;2)), OR(INT(F82)&lt;10, INT(F82)&gt;55)), $Q$5, ""), "") &amp; " " &amp; _xlfn.IFNA(IF(AND(VLOOKUP(D82, 'Selection Lists'!$A$4:$B$17, 2, FALSE)&lt;1.5, INT(F82)&gt;45), $Q$6, ""), "") &amp; " " &amp; _xlfn.IFNA(IF(AND(OR(G82="X",H82="X"), OR(VLOOKUP(D82, 'Selection Lists'!$A$4:$B$17, 2, FALSE)&lt;0.75, INT(F82)&gt;45)), $Q$7, ""), "")</f>
        <v xml:space="preserve">  </v>
      </c>
    </row>
    <row r="83" spans="1:14" x14ac:dyDescent="0.2">
      <c r="A83" s="182"/>
      <c r="B83" s="156" t="s">
        <v>13</v>
      </c>
      <c r="C83" s="26"/>
      <c r="D83" s="27"/>
      <c r="E83" s="26"/>
      <c r="F83" s="28"/>
      <c r="G83" s="46"/>
      <c r="H83" s="29"/>
      <c r="I83" s="29"/>
      <c r="J83" s="29"/>
      <c r="K83" s="29"/>
      <c r="L83" s="176" t="str">
        <f t="shared" si="4"/>
        <v/>
      </c>
      <c r="M83" s="177" t="str">
        <f t="shared" si="3"/>
        <v/>
      </c>
      <c r="N83" s="175" t="str">
        <f>_xlfn.IFNA(IF(OR(L83&gt;50, OR(OR(VLOOKUP(D83,'Selection Lists'!$A$4:$B$17, 2, FALSE)&lt;3/8, VLOOKUP(D83, 'Selection Lists'!$A$4:$B$17, 2, FALSE)&gt;2)), OR(INT(F83)&lt;10, INT(F83)&gt;55)), $Q$5, ""), "") &amp; " " &amp; _xlfn.IFNA(IF(AND(VLOOKUP(D83, 'Selection Lists'!$A$4:$B$17, 2, FALSE)&lt;1.5, INT(F83)&gt;45), $Q$6, ""), "") &amp; " " &amp; _xlfn.IFNA(IF(AND(OR(G83="X",H83="X"), OR(VLOOKUP(D83, 'Selection Lists'!$A$4:$B$17, 2, FALSE)&lt;0.75, INT(F83)&gt;45)), $Q$7, ""), "")</f>
        <v xml:space="preserve">  </v>
      </c>
    </row>
    <row r="84" spans="1:14" ht="13.5" thickBot="1" x14ac:dyDescent="0.25">
      <c r="A84" s="183"/>
      <c r="B84" s="158" t="s">
        <v>14</v>
      </c>
      <c r="C84" s="35"/>
      <c r="D84" s="36"/>
      <c r="E84" s="35"/>
      <c r="F84" s="37"/>
      <c r="G84" s="47"/>
      <c r="H84" s="38"/>
      <c r="I84" s="38"/>
      <c r="J84" s="38"/>
      <c r="K84" s="38"/>
      <c r="L84" s="178" t="str">
        <f t="shared" si="4"/>
        <v/>
      </c>
      <c r="M84" s="179" t="str">
        <f t="shared" si="3"/>
        <v/>
      </c>
      <c r="N84" s="175" t="str">
        <f>_xlfn.IFNA(IF(OR(L84&gt;50, OR(OR(VLOOKUP(D84,'Selection Lists'!$A$4:$B$17, 2, FALSE)&lt;3/8, VLOOKUP(D84, 'Selection Lists'!$A$4:$B$17, 2, FALSE)&gt;2)), OR(INT(F84)&lt;10, INT(F84)&gt;55)), $Q$5, ""), "") &amp; " " &amp; _xlfn.IFNA(IF(AND(VLOOKUP(D84, 'Selection Lists'!$A$4:$B$17, 2, FALSE)&lt;1.5, INT(F84)&gt;45), $Q$6, ""), "") &amp; " " &amp; _xlfn.IFNA(IF(AND(OR(G84="X",H84="X"), OR(VLOOKUP(D84, 'Selection Lists'!$A$4:$B$17, 2, FALSE)&lt;0.75, INT(F84)&gt;45)), $Q$7, ""), "")</f>
        <v xml:space="preserve">  </v>
      </c>
    </row>
    <row r="85" spans="1:14" x14ac:dyDescent="0.2">
      <c r="A85" s="181">
        <v>28</v>
      </c>
      <c r="B85" s="154" t="s">
        <v>12</v>
      </c>
      <c r="C85" s="30"/>
      <c r="D85" s="31"/>
      <c r="E85" s="32"/>
      <c r="F85" s="33"/>
      <c r="G85" s="45"/>
      <c r="H85" s="34"/>
      <c r="I85" s="34"/>
      <c r="J85" s="34"/>
      <c r="K85" s="34"/>
      <c r="L85" s="173" t="str">
        <f t="shared" si="4"/>
        <v/>
      </c>
      <c r="M85" s="174" t="str">
        <f t="shared" si="3"/>
        <v/>
      </c>
      <c r="N85" s="175" t="str">
        <f>_xlfn.IFNA(IF(OR(L85&gt;50, OR(OR(VLOOKUP(D85,'Selection Lists'!$A$4:$B$17, 2, FALSE)&lt;3/8, VLOOKUP(D85, 'Selection Lists'!$A$4:$B$17, 2, FALSE)&gt;2)), OR(INT(F85)&lt;10, INT(F85)&gt;55)), $Q$5, ""), "") &amp; " " &amp; _xlfn.IFNA(IF(AND(VLOOKUP(D85, 'Selection Lists'!$A$4:$B$17, 2, FALSE)&lt;1.5, INT(F85)&gt;45), $Q$6, ""), "") &amp; " " &amp; _xlfn.IFNA(IF(AND(OR(G85="X",H85="X"), OR(VLOOKUP(D85, 'Selection Lists'!$A$4:$B$17, 2, FALSE)&lt;0.75, INT(F85)&gt;45)), $Q$7, ""), "")</f>
        <v xml:space="preserve">  </v>
      </c>
    </row>
    <row r="86" spans="1:14" x14ac:dyDescent="0.2">
      <c r="A86" s="182"/>
      <c r="B86" s="156" t="s">
        <v>13</v>
      </c>
      <c r="C86" s="26"/>
      <c r="D86" s="27"/>
      <c r="E86" s="26"/>
      <c r="F86" s="28"/>
      <c r="G86" s="46"/>
      <c r="H86" s="29"/>
      <c r="I86" s="29"/>
      <c r="J86" s="29"/>
      <c r="K86" s="29"/>
      <c r="L86" s="176" t="str">
        <f t="shared" si="4"/>
        <v/>
      </c>
      <c r="M86" s="177" t="str">
        <f t="shared" si="3"/>
        <v/>
      </c>
      <c r="N86" s="175" t="str">
        <f>_xlfn.IFNA(IF(OR(L86&gt;50, OR(OR(VLOOKUP(D86,'Selection Lists'!$A$4:$B$17, 2, FALSE)&lt;3/8, VLOOKUP(D86, 'Selection Lists'!$A$4:$B$17, 2, FALSE)&gt;2)), OR(INT(F86)&lt;10, INT(F86)&gt;55)), $Q$5, ""), "") &amp; " " &amp; _xlfn.IFNA(IF(AND(VLOOKUP(D86, 'Selection Lists'!$A$4:$B$17, 2, FALSE)&lt;1.5, INT(F86)&gt;45), $Q$6, ""), "") &amp; " " &amp; _xlfn.IFNA(IF(AND(OR(G86="X",H86="X"), OR(VLOOKUP(D86, 'Selection Lists'!$A$4:$B$17, 2, FALSE)&lt;0.75, INT(F86)&gt;45)), $Q$7, ""), "")</f>
        <v xml:space="preserve">  </v>
      </c>
    </row>
    <row r="87" spans="1:14" ht="13.5" thickBot="1" x14ac:dyDescent="0.25">
      <c r="A87" s="183"/>
      <c r="B87" s="158" t="s">
        <v>14</v>
      </c>
      <c r="C87" s="35"/>
      <c r="D87" s="36"/>
      <c r="E87" s="35"/>
      <c r="F87" s="37"/>
      <c r="G87" s="47"/>
      <c r="H87" s="38"/>
      <c r="I87" s="38"/>
      <c r="J87" s="38"/>
      <c r="K87" s="38"/>
      <c r="L87" s="178" t="str">
        <f t="shared" si="4"/>
        <v/>
      </c>
      <c r="M87" s="179" t="str">
        <f t="shared" si="3"/>
        <v/>
      </c>
      <c r="N87" s="175" t="str">
        <f>_xlfn.IFNA(IF(OR(L87&gt;50, OR(OR(VLOOKUP(D87,'Selection Lists'!$A$4:$B$17, 2, FALSE)&lt;3/8, VLOOKUP(D87, 'Selection Lists'!$A$4:$B$17, 2, FALSE)&gt;2)), OR(INT(F87)&lt;10, INT(F87)&gt;55)), $Q$5, ""), "") &amp; " " &amp; _xlfn.IFNA(IF(AND(VLOOKUP(D87, 'Selection Lists'!$A$4:$B$17, 2, FALSE)&lt;1.5, INT(F87)&gt;45), $Q$6, ""), "") &amp; " " &amp; _xlfn.IFNA(IF(AND(OR(G87="X",H87="X"), OR(VLOOKUP(D87, 'Selection Lists'!$A$4:$B$17, 2, FALSE)&lt;0.75, INT(F87)&gt;45)), $Q$7, ""), "")</f>
        <v xml:space="preserve">  </v>
      </c>
    </row>
    <row r="88" spans="1:14" x14ac:dyDescent="0.2">
      <c r="A88" s="181">
        <v>29</v>
      </c>
      <c r="B88" s="154" t="s">
        <v>12</v>
      </c>
      <c r="C88" s="30"/>
      <c r="D88" s="31"/>
      <c r="E88" s="32"/>
      <c r="F88" s="33"/>
      <c r="G88" s="45"/>
      <c r="H88" s="34"/>
      <c r="I88" s="34"/>
      <c r="J88" s="34"/>
      <c r="K88" s="34"/>
      <c r="L88" s="173" t="str">
        <f t="shared" si="4"/>
        <v/>
      </c>
      <c r="M88" s="174" t="str">
        <f t="shared" si="3"/>
        <v/>
      </c>
      <c r="N88" s="175" t="str">
        <f>_xlfn.IFNA(IF(OR(L88&gt;50, OR(OR(VLOOKUP(D88,'Selection Lists'!$A$4:$B$17, 2, FALSE)&lt;3/8, VLOOKUP(D88, 'Selection Lists'!$A$4:$B$17, 2, FALSE)&gt;2)), OR(INT(F88)&lt;10, INT(F88)&gt;55)), $Q$5, ""), "") &amp; " " &amp; _xlfn.IFNA(IF(AND(VLOOKUP(D88, 'Selection Lists'!$A$4:$B$17, 2, FALSE)&lt;1.5, INT(F88)&gt;45), $Q$6, ""), "") &amp; " " &amp; _xlfn.IFNA(IF(AND(OR(G88="X",H88="X"), OR(VLOOKUP(D88, 'Selection Lists'!$A$4:$B$17, 2, FALSE)&lt;0.75, INT(F88)&gt;45)), $Q$7, ""), "")</f>
        <v xml:space="preserve">  </v>
      </c>
    </row>
    <row r="89" spans="1:14" x14ac:dyDescent="0.2">
      <c r="A89" s="182"/>
      <c r="B89" s="156" t="s">
        <v>13</v>
      </c>
      <c r="C89" s="26"/>
      <c r="D89" s="27"/>
      <c r="E89" s="26"/>
      <c r="F89" s="28"/>
      <c r="G89" s="46"/>
      <c r="H89" s="29"/>
      <c r="I89" s="29"/>
      <c r="J89" s="29"/>
      <c r="K89" s="29"/>
      <c r="L89" s="176" t="str">
        <f t="shared" si="4"/>
        <v/>
      </c>
      <c r="M89" s="177" t="str">
        <f t="shared" si="3"/>
        <v/>
      </c>
      <c r="N89" s="175" t="str">
        <f>_xlfn.IFNA(IF(OR(L89&gt;50, OR(OR(VLOOKUP(D89,'Selection Lists'!$A$4:$B$17, 2, FALSE)&lt;3/8, VLOOKUP(D89, 'Selection Lists'!$A$4:$B$17, 2, FALSE)&gt;2)), OR(INT(F89)&lt;10, INT(F89)&gt;55)), $Q$5, ""), "") &amp; " " &amp; _xlfn.IFNA(IF(AND(VLOOKUP(D89, 'Selection Lists'!$A$4:$B$17, 2, FALSE)&lt;1.5, INT(F89)&gt;45), $Q$6, ""), "") &amp; " " &amp; _xlfn.IFNA(IF(AND(OR(G89="X",H89="X"), OR(VLOOKUP(D89, 'Selection Lists'!$A$4:$B$17, 2, FALSE)&lt;0.75, INT(F89)&gt;45)), $Q$7, ""), "")</f>
        <v xml:space="preserve">  </v>
      </c>
    </row>
    <row r="90" spans="1:14" ht="13.5" thickBot="1" x14ac:dyDescent="0.25">
      <c r="A90" s="183"/>
      <c r="B90" s="158" t="s">
        <v>14</v>
      </c>
      <c r="C90" s="35"/>
      <c r="D90" s="36"/>
      <c r="E90" s="35"/>
      <c r="F90" s="37"/>
      <c r="G90" s="47"/>
      <c r="H90" s="38"/>
      <c r="I90" s="38"/>
      <c r="J90" s="38"/>
      <c r="K90" s="38"/>
      <c r="L90" s="178" t="str">
        <f t="shared" si="4"/>
        <v/>
      </c>
      <c r="M90" s="179" t="str">
        <f t="shared" si="3"/>
        <v/>
      </c>
      <c r="N90" s="175" t="str">
        <f>_xlfn.IFNA(IF(OR(L90&gt;50, OR(OR(VLOOKUP(D90,'Selection Lists'!$A$4:$B$17, 2, FALSE)&lt;3/8, VLOOKUP(D90, 'Selection Lists'!$A$4:$B$17, 2, FALSE)&gt;2)), OR(INT(F90)&lt;10, INT(F90)&gt;55)), $Q$5, ""), "") &amp; " " &amp; _xlfn.IFNA(IF(AND(VLOOKUP(D90, 'Selection Lists'!$A$4:$B$17, 2, FALSE)&lt;1.5, INT(F90)&gt;45), $Q$6, ""), "") &amp; " " &amp; _xlfn.IFNA(IF(AND(OR(G90="X",H90="X"), OR(VLOOKUP(D90, 'Selection Lists'!$A$4:$B$17, 2, FALSE)&lt;0.75, INT(F90)&gt;45)), $Q$7, ""), "")</f>
        <v xml:space="preserve">  </v>
      </c>
    </row>
    <row r="91" spans="1:14" x14ac:dyDescent="0.2">
      <c r="A91" s="181">
        <v>30</v>
      </c>
      <c r="B91" s="154" t="s">
        <v>12</v>
      </c>
      <c r="C91" s="30"/>
      <c r="D91" s="31"/>
      <c r="E91" s="32"/>
      <c r="F91" s="33"/>
      <c r="G91" s="45"/>
      <c r="H91" s="34"/>
      <c r="I91" s="34"/>
      <c r="J91" s="34"/>
      <c r="K91" s="34"/>
      <c r="L91" s="173" t="str">
        <f t="shared" si="4"/>
        <v/>
      </c>
      <c r="M91" s="174" t="str">
        <f t="shared" si="3"/>
        <v/>
      </c>
      <c r="N91" s="175" t="str">
        <f>_xlfn.IFNA(IF(OR(L91&gt;50, OR(OR(VLOOKUP(D91,'Selection Lists'!$A$4:$B$17, 2, FALSE)&lt;3/8, VLOOKUP(D91, 'Selection Lists'!$A$4:$B$17, 2, FALSE)&gt;2)), OR(INT(F91)&lt;10, INT(F91)&gt;55)), $Q$5, ""), "") &amp; " " &amp; _xlfn.IFNA(IF(AND(VLOOKUP(D91, 'Selection Lists'!$A$4:$B$17, 2, FALSE)&lt;1.5, INT(F91)&gt;45), $Q$6, ""), "") &amp; " " &amp; _xlfn.IFNA(IF(AND(OR(G91="X",H91="X"), OR(VLOOKUP(D91, 'Selection Lists'!$A$4:$B$17, 2, FALSE)&lt;0.75, INT(F91)&gt;45)), $Q$7, ""), "")</f>
        <v xml:space="preserve">  </v>
      </c>
    </row>
    <row r="92" spans="1:14" x14ac:dyDescent="0.2">
      <c r="A92" s="182"/>
      <c r="B92" s="156" t="s">
        <v>13</v>
      </c>
      <c r="C92" s="26"/>
      <c r="D92" s="27"/>
      <c r="E92" s="26"/>
      <c r="F92" s="28"/>
      <c r="G92" s="46"/>
      <c r="H92" s="29"/>
      <c r="I92" s="29"/>
      <c r="J92" s="29"/>
      <c r="K92" s="29"/>
      <c r="L92" s="176" t="str">
        <f t="shared" si="4"/>
        <v/>
      </c>
      <c r="M92" s="177" t="str">
        <f t="shared" si="3"/>
        <v/>
      </c>
      <c r="N92" s="175" t="str">
        <f>_xlfn.IFNA(IF(OR(L92&gt;50, OR(OR(VLOOKUP(D92,'Selection Lists'!$A$4:$B$17, 2, FALSE)&lt;3/8, VLOOKUP(D92, 'Selection Lists'!$A$4:$B$17, 2, FALSE)&gt;2)), OR(INT(F92)&lt;10, INT(F92)&gt;55)), $Q$5, ""), "") &amp; " " &amp; _xlfn.IFNA(IF(AND(VLOOKUP(D92, 'Selection Lists'!$A$4:$B$17, 2, FALSE)&lt;1.5, INT(F92)&gt;45), $Q$6, ""), "") &amp; " " &amp; _xlfn.IFNA(IF(AND(OR(G92="X",H92="X"), OR(VLOOKUP(D92, 'Selection Lists'!$A$4:$B$17, 2, FALSE)&lt;0.75, INT(F92)&gt;45)), $Q$7, ""), "")</f>
        <v xml:space="preserve">  </v>
      </c>
    </row>
    <row r="93" spans="1:14" ht="13.5" thickBot="1" x14ac:dyDescent="0.25">
      <c r="A93" s="182"/>
      <c r="B93" s="184" t="s">
        <v>14</v>
      </c>
      <c r="C93" s="41"/>
      <c r="D93" s="42"/>
      <c r="E93" s="41"/>
      <c r="F93" s="43"/>
      <c r="G93" s="48"/>
      <c r="H93" s="44"/>
      <c r="I93" s="44"/>
      <c r="J93" s="44"/>
      <c r="K93" s="44"/>
      <c r="L93" s="178" t="str">
        <f t="shared" si="4"/>
        <v/>
      </c>
      <c r="M93" s="185" t="str">
        <f t="shared" si="3"/>
        <v/>
      </c>
      <c r="N93" s="175" t="str">
        <f>_xlfn.IFNA(IF(OR(L93&gt;50, OR(OR(VLOOKUP(D93,'Selection Lists'!$A$4:$B$17, 2, FALSE)&lt;3/8, VLOOKUP(D93, 'Selection Lists'!$A$4:$B$17, 2, FALSE)&gt;2)), OR(INT(F93)&lt;10, INT(F93)&gt;55)), $Q$5, ""), "") &amp; " " &amp; _xlfn.IFNA(IF(AND(VLOOKUP(D93, 'Selection Lists'!$A$4:$B$17, 2, FALSE)&lt;1.5, INT(F93)&gt;45), $Q$6, ""), "") &amp; " " &amp; _xlfn.IFNA(IF(AND(OR(G93="X",H93="X"), OR(VLOOKUP(D93, 'Selection Lists'!$A$4:$B$17, 2, FALSE)&lt;0.75, INT(F93)&gt;45)), $Q$7, ""), "")</f>
        <v xml:space="preserve">  </v>
      </c>
    </row>
    <row r="94" spans="1:14" ht="12.75" customHeight="1" x14ac:dyDescent="0.2">
      <c r="G94" s="188" t="s">
        <v>74</v>
      </c>
      <c r="H94" s="189"/>
      <c r="I94" s="189"/>
      <c r="J94" s="189"/>
      <c r="K94" s="189"/>
      <c r="L94" s="190"/>
      <c r="M94" s="127">
        <f>COUNTIF(Course1Table7[KZ, in],"&gt;0")</f>
        <v>0</v>
      </c>
      <c r="N94" s="203" t="str">
        <f>IF(M94*2&gt;60,$Q$11,"")</f>
        <v/>
      </c>
    </row>
    <row r="95" spans="1:14" ht="12.75" customHeight="1" x14ac:dyDescent="0.2">
      <c r="G95" s="191" t="s">
        <v>78</v>
      </c>
      <c r="H95" s="192"/>
      <c r="I95" s="192"/>
      <c r="J95" s="192"/>
      <c r="K95" s="192"/>
      <c r="L95" s="193"/>
      <c r="M95" s="204">
        <f>COUNTIF(F4:F93, "&gt;40")</f>
        <v>0</v>
      </c>
      <c r="N95" s="203"/>
    </row>
    <row r="96" spans="1:14" ht="12.75" customHeight="1" x14ac:dyDescent="0.2">
      <c r="G96" s="191" t="s">
        <v>102</v>
      </c>
      <c r="H96" s="192"/>
      <c r="I96" s="192"/>
      <c r="J96" s="192"/>
      <c r="K96" s="192"/>
      <c r="L96" s="193"/>
      <c r="M96" s="62" t="str">
        <f>IFERROR(M95/M94,"")</f>
        <v/>
      </c>
      <c r="N96" s="205" t="str">
        <f>IF(M96&lt;0.3, $Q$10, "")</f>
        <v/>
      </c>
    </row>
    <row r="97" spans="7:14" x14ac:dyDescent="0.2">
      <c r="G97" s="191" t="s">
        <v>75</v>
      </c>
      <c r="H97" s="192"/>
      <c r="I97" s="192"/>
      <c r="J97" s="192"/>
      <c r="K97" s="192"/>
      <c r="L97" s="193"/>
      <c r="M97" s="194" t="str">
        <f>IFERROR(AVERAGE(D4:D93), "")</f>
        <v/>
      </c>
      <c r="N97" s="195"/>
    </row>
    <row r="98" spans="7:14" ht="12.75" customHeight="1" x14ac:dyDescent="0.2">
      <c r="G98" s="191" t="s">
        <v>76</v>
      </c>
      <c r="H98" s="192"/>
      <c r="I98" s="192"/>
      <c r="J98" s="192"/>
      <c r="K98" s="192"/>
      <c r="L98" s="193"/>
      <c r="M98" s="142" t="str">
        <f>IFERROR(AVERAGE(F4:F93), "")</f>
        <v/>
      </c>
      <c r="N98" s="196"/>
    </row>
    <row r="99" spans="7:14" ht="12.75" customHeight="1" x14ac:dyDescent="0.2">
      <c r="G99" s="191" t="s">
        <v>109</v>
      </c>
      <c r="H99" s="192"/>
      <c r="I99" s="192"/>
      <c r="J99" s="192"/>
      <c r="K99" s="192"/>
      <c r="L99" s="193"/>
      <c r="M99" s="143" t="str">
        <f>IFERROR(_xlfn.STDEV.P(L4:L93), "")</f>
        <v/>
      </c>
      <c r="N99" s="197"/>
    </row>
    <row r="100" spans="7:14" ht="12.75" customHeight="1" x14ac:dyDescent="0.2">
      <c r="G100" s="191" t="s">
        <v>101</v>
      </c>
      <c r="H100" s="192"/>
      <c r="I100" s="192"/>
      <c r="J100" s="192"/>
      <c r="K100" s="192"/>
      <c r="L100" s="193"/>
      <c r="M100" s="143" t="str">
        <f>IFERROR(AVERAGE(L4:L93), "")</f>
        <v/>
      </c>
      <c r="N100" s="119" t="str">
        <f>IF(0&lt;M100&lt;28, $Q$9, "") &amp; " " &amp; IF(M100&gt;36, $Q$8, "")</f>
        <v xml:space="preserve"> ◄Max 36T</v>
      </c>
    </row>
    <row r="101" spans="7:14" ht="13.5" customHeight="1" thickBot="1" x14ac:dyDescent="0.25">
      <c r="G101" s="198" t="s">
        <v>77</v>
      </c>
      <c r="H101" s="199"/>
      <c r="I101" s="199"/>
      <c r="J101" s="199"/>
      <c r="K101" s="199"/>
      <c r="L101" s="200"/>
      <c r="M101" s="145" t="str">
        <f>IFERROR(AVERAGE(M4:M93), "")</f>
        <v/>
      </c>
    </row>
    <row r="104" spans="7:14" x14ac:dyDescent="0.2">
      <c r="K104" s="202" t="s">
        <v>15</v>
      </c>
    </row>
  </sheetData>
  <sheetProtection algorithmName="SHA-512" hashValue="L6hWj+FZbf79Z017HwmFurlnQQU6kK9XQvi1ygYeuS6LihIXQrKY4HEvCexny6gKyrLzp3L4vzRvD7X/DOfxlw==" saltValue="kTOF4ATfjn8OciVEqG3yFQ==" spinCount="100000" sheet="1" objects="1" scenarios="1" selectLockedCells="1"/>
  <mergeCells count="26">
    <mergeCell ref="A1:M1"/>
    <mergeCell ref="A2:M2"/>
    <mergeCell ref="Q4:R4"/>
    <mergeCell ref="S4:AB4"/>
    <mergeCell ref="Q5:R5"/>
    <mergeCell ref="S5:AB5"/>
    <mergeCell ref="Q6:R6"/>
    <mergeCell ref="S6:AB6"/>
    <mergeCell ref="Q7:R7"/>
    <mergeCell ref="S7:AB7"/>
    <mergeCell ref="Q8:R8"/>
    <mergeCell ref="S8:AB8"/>
    <mergeCell ref="G101:L101"/>
    <mergeCell ref="Q9:R9"/>
    <mergeCell ref="S9:AB9"/>
    <mergeCell ref="Q10:R10"/>
    <mergeCell ref="S10:AB10"/>
    <mergeCell ref="G94:L94"/>
    <mergeCell ref="G95:L95"/>
    <mergeCell ref="Q11:R11"/>
    <mergeCell ref="S11:AB11"/>
    <mergeCell ref="G96:L96"/>
    <mergeCell ref="G97:L97"/>
    <mergeCell ref="G98:L98"/>
    <mergeCell ref="G99:L99"/>
    <mergeCell ref="G100:L100"/>
  </mergeCells>
  <conditionalFormatting sqref="D4:D93">
    <cfRule type="expression" dxfId="82" priority="5" stopIfTrue="1">
      <formula>AND(F4&gt;45, D4&lt;1.5)</formula>
    </cfRule>
  </conditionalFormatting>
  <conditionalFormatting sqref="F4:F93">
    <cfRule type="expression" dxfId="81" priority="6" stopIfTrue="1">
      <formula>AND(NOT(ISBLANK(F4)), OR(F4&lt;10, F4&gt;55))</formula>
    </cfRule>
  </conditionalFormatting>
  <conditionalFormatting sqref="G4:G93">
    <cfRule type="expression" dxfId="80" priority="8">
      <formula>AND(G4 ="X", OR(D4&lt;(3/4), F4&gt;45))</formula>
    </cfRule>
  </conditionalFormatting>
  <conditionalFormatting sqref="H4:H93">
    <cfRule type="expression" dxfId="79" priority="7">
      <formula>AND(H4 ="X", OR(D4&lt;(3/4), F4&gt;45))</formula>
    </cfRule>
  </conditionalFormatting>
  <conditionalFormatting sqref="L4:L93">
    <cfRule type="expression" dxfId="78" priority="4" stopIfTrue="1">
      <formula>AND(ISNUMBER(L4), L4&gt;50)</formula>
    </cfRule>
  </conditionalFormatting>
  <conditionalFormatting sqref="L4:M93">
    <cfRule type="expression" dxfId="77" priority="12" stopIfTrue="1">
      <formula>AND(ISNUMBER(L4), AND(NOT(ISBLANK(L4)), L4&gt;=34, L4&lt;=50))</formula>
    </cfRule>
    <cfRule type="expression" dxfId="76" priority="13" stopIfTrue="1">
      <formula>AND(ISNUMBER(L4), AND(NOT(ISBLANK(L4)), AND(L4&gt;=30, L4&lt;34)))</formula>
    </cfRule>
    <cfRule type="expression" dxfId="75" priority="14" stopIfTrue="1">
      <formula>AND(ISNUMBER(L4), AND(NOT(ISBLANK(L4)), AND(L4&gt;=25, L4&lt;30)))</formula>
    </cfRule>
    <cfRule type="expression" dxfId="74" priority="15" stopIfTrue="1">
      <formula>AND(AND(ISNUMBER(L4),AND(NOT(ISBLANK(L4)),L4&lt;25)))</formula>
    </cfRule>
  </conditionalFormatting>
  <conditionalFormatting sqref="M4:M93">
    <cfRule type="expression" dxfId="73" priority="9" stopIfTrue="1">
      <formula>AND(ISNUMBER(M4), M4&gt;50)</formula>
    </cfRule>
  </conditionalFormatting>
  <conditionalFormatting sqref="M94">
    <cfRule type="expression" dxfId="72" priority="2">
      <formula>$M$94*2&gt;60</formula>
    </cfRule>
  </conditionalFormatting>
  <conditionalFormatting sqref="M96">
    <cfRule type="expression" dxfId="71" priority="1">
      <formula>$M$96&lt;0.3</formula>
    </cfRule>
  </conditionalFormatting>
  <conditionalFormatting sqref="M100">
    <cfRule type="expression" dxfId="70" priority="10" stopIfTrue="1">
      <formula>OR(M100&gt;36, M100&lt;28)</formula>
    </cfRule>
  </conditionalFormatting>
  <dataValidations count="1">
    <dataValidation operator="equal" allowBlank="1" sqref="C4:C93" xr:uid="{0E376584-7B60-4A45-A096-9D4E7901DAF6}"/>
  </dataValidations>
  <pageMargins left="0.7" right="0.7" top="0.75" bottom="0.75" header="0.3" footer="0.3"/>
  <pageSetup orientation="portrait" horizontalDpi="0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equal" allowBlank="1" showErrorMessage="1" errorTitle="Invalid Value" xr:uid="{A037FFFE-98D3-4F60-9605-5A00CB00D8E3}">
          <x14:formula1>
            <xm:f>'Selection Lists'!$A$4:$A$17</xm:f>
          </x14:formula1>
          <xm:sqref>D4:D93</xm:sqref>
        </x14:dataValidation>
        <x14:dataValidation type="list" allowBlank="1" showInputMessage="1" showErrorMessage="1" xr:uid="{4603F704-83E6-4A2D-857D-9D7AA79D1722}">
          <x14:formula1>
            <xm:f>'Selection Lists'!$D$2:$D$3</xm:f>
          </x14:formula1>
          <xm:sqref>G4:K93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P56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U21" sqref="U21"/>
    </sheetView>
  </sheetViews>
  <sheetFormatPr defaultRowHeight="12.75" customHeight="1" x14ac:dyDescent="0.2"/>
  <cols>
    <col min="2" max="2" width="5.7109375" customWidth="1"/>
    <col min="3" max="16" width="6.140625" customWidth="1"/>
  </cols>
  <sheetData>
    <row r="1" spans="2:16" ht="18" customHeight="1" x14ac:dyDescent="0.25">
      <c r="C1" s="67" t="s">
        <v>72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/>
    </row>
    <row r="2" spans="2:16" ht="12.75" customHeight="1" x14ac:dyDescent="0.2">
      <c r="C2" s="21"/>
      <c r="D2" s="74" t="s">
        <v>21</v>
      </c>
      <c r="E2" s="74"/>
      <c r="F2" s="74"/>
      <c r="G2" s="74"/>
      <c r="H2" s="73" t="s">
        <v>22</v>
      </c>
      <c r="I2" s="73"/>
      <c r="J2" s="73"/>
      <c r="K2" s="73"/>
      <c r="L2" s="73" t="s">
        <v>23</v>
      </c>
      <c r="M2" s="73"/>
      <c r="N2" s="73"/>
      <c r="O2" s="73"/>
      <c r="P2" s="22"/>
    </row>
    <row r="3" spans="2:16" ht="12.75" customHeight="1" x14ac:dyDescent="0.2">
      <c r="C3" s="53"/>
      <c r="D3" s="8" t="s">
        <v>16</v>
      </c>
      <c r="E3" s="9" t="s">
        <v>17</v>
      </c>
      <c r="F3" s="10" t="s">
        <v>18</v>
      </c>
      <c r="G3" s="12" t="s">
        <v>19</v>
      </c>
      <c r="H3" s="65" t="s">
        <v>50</v>
      </c>
      <c r="I3" s="65"/>
      <c r="J3" s="65"/>
      <c r="K3" s="13">
        <v>0.125</v>
      </c>
      <c r="L3" s="8" t="s">
        <v>16</v>
      </c>
      <c r="M3" s="9" t="s">
        <v>17</v>
      </c>
      <c r="N3" s="10" t="s">
        <v>18</v>
      </c>
      <c r="O3" s="12" t="s">
        <v>19</v>
      </c>
      <c r="P3" s="54"/>
    </row>
    <row r="4" spans="2:16" ht="12.75" customHeight="1" x14ac:dyDescent="0.2">
      <c r="C4" s="53"/>
      <c r="D4" s="8" t="s">
        <v>25</v>
      </c>
      <c r="E4" s="9" t="s">
        <v>26</v>
      </c>
      <c r="F4" s="10" t="s">
        <v>27</v>
      </c>
      <c r="G4" s="11" t="s">
        <v>48</v>
      </c>
      <c r="H4" s="65" t="s">
        <v>28</v>
      </c>
      <c r="I4" s="65"/>
      <c r="J4" s="65"/>
      <c r="K4" s="13">
        <v>0.25</v>
      </c>
      <c r="L4" s="8" t="s">
        <v>29</v>
      </c>
      <c r="M4" s="9" t="s">
        <v>30</v>
      </c>
      <c r="N4" s="10" t="s">
        <v>31</v>
      </c>
      <c r="O4" s="11" t="s">
        <v>49</v>
      </c>
      <c r="P4" s="54"/>
    </row>
    <row r="5" spans="2:16" ht="12.75" customHeight="1" x14ac:dyDescent="0.2">
      <c r="C5" s="84"/>
      <c r="D5" s="85"/>
      <c r="E5" s="85"/>
      <c r="F5" s="85"/>
      <c r="G5" s="86"/>
      <c r="H5" s="66" t="s">
        <v>32</v>
      </c>
      <c r="I5" s="66"/>
      <c r="J5" s="66"/>
      <c r="K5" s="13">
        <v>0.25</v>
      </c>
      <c r="L5" s="87"/>
      <c r="M5" s="88"/>
      <c r="N5" s="88"/>
      <c r="O5" s="88"/>
      <c r="P5" s="89"/>
    </row>
    <row r="6" spans="2:16" ht="12.75" customHeight="1" x14ac:dyDescent="0.2">
      <c r="C6" s="70" t="s">
        <v>51</v>
      </c>
      <c r="D6" s="71"/>
      <c r="E6" s="71"/>
      <c r="F6" s="71"/>
      <c r="G6" s="72"/>
      <c r="H6" s="65" t="s">
        <v>33</v>
      </c>
      <c r="I6" s="65"/>
      <c r="J6" s="65"/>
      <c r="K6" s="13">
        <v>0.25</v>
      </c>
      <c r="L6" s="75" t="s">
        <v>34</v>
      </c>
      <c r="M6" s="76"/>
      <c r="N6" s="76"/>
      <c r="O6" s="76"/>
      <c r="P6" s="77"/>
    </row>
    <row r="7" spans="2:16" ht="12.75" customHeight="1" x14ac:dyDescent="0.2">
      <c r="C7" s="75" t="s">
        <v>35</v>
      </c>
      <c r="D7" s="76"/>
      <c r="E7" s="76"/>
      <c r="F7" s="76"/>
      <c r="G7" s="77"/>
      <c r="H7" s="65" t="s">
        <v>36</v>
      </c>
      <c r="I7" s="65"/>
      <c r="J7" s="65"/>
      <c r="K7" s="13">
        <v>0.5</v>
      </c>
      <c r="L7" s="75" t="s">
        <v>37</v>
      </c>
      <c r="M7" s="76"/>
      <c r="N7" s="76"/>
      <c r="O7" s="76"/>
      <c r="P7" s="77"/>
    </row>
    <row r="8" spans="2:16" ht="12.75" customHeight="1" x14ac:dyDescent="0.2">
      <c r="C8" s="81" t="s">
        <v>39</v>
      </c>
      <c r="D8" s="82"/>
      <c r="E8" s="82"/>
      <c r="F8" s="82"/>
      <c r="G8" s="83"/>
      <c r="H8" s="90" t="s">
        <v>40</v>
      </c>
      <c r="I8" s="90"/>
      <c r="J8" s="90"/>
      <c r="K8" s="20">
        <v>0.75</v>
      </c>
      <c r="L8" s="81" t="s">
        <v>39</v>
      </c>
      <c r="M8" s="82"/>
      <c r="N8" s="82"/>
      <c r="O8" s="82"/>
      <c r="P8" s="83"/>
    </row>
    <row r="9" spans="2:16" ht="12.75" customHeight="1" x14ac:dyDescent="0.2">
      <c r="B9" s="55"/>
      <c r="C9" s="78" t="s">
        <v>42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6" ht="12" customHeight="1" x14ac:dyDescent="0.2">
      <c r="B10" s="3" t="s">
        <v>44</v>
      </c>
      <c r="C10" s="4">
        <v>0.375</v>
      </c>
      <c r="D10" s="4">
        <v>0.5</v>
      </c>
      <c r="E10" s="4">
        <v>0.625</v>
      </c>
      <c r="F10" s="4">
        <v>0.75</v>
      </c>
      <c r="G10" s="4">
        <v>0.875</v>
      </c>
      <c r="H10" s="3">
        <v>1</v>
      </c>
      <c r="I10" s="4">
        <v>1.125</v>
      </c>
      <c r="J10" s="4">
        <v>1.25</v>
      </c>
      <c r="K10" s="4">
        <v>1.375</v>
      </c>
      <c r="L10" s="4">
        <v>1.5</v>
      </c>
      <c r="M10" s="4">
        <v>1.625</v>
      </c>
      <c r="N10" s="4">
        <v>1.75</v>
      </c>
      <c r="O10" s="4">
        <v>1.875</v>
      </c>
      <c r="P10" s="3">
        <v>2</v>
      </c>
    </row>
    <row r="11" spans="2:16" ht="12" customHeight="1" x14ac:dyDescent="0.2">
      <c r="B11" s="5">
        <v>10</v>
      </c>
      <c r="C11" s="7">
        <f t="shared" ref="C11:C56" si="0">IF($B11&gt;45,($B11/C$10)*1.125,$B11/C$10)</f>
        <v>26.666666666666668</v>
      </c>
      <c r="D11" s="7">
        <f t="shared" ref="D11:D56" si="1">IF($B11&gt;45,($B11/D$10)*1.125,$B11/D$10)</f>
        <v>20</v>
      </c>
      <c r="E11" s="7">
        <f t="shared" ref="E11:E56" si="2">IF($B11&gt;45,($B11/E$10)*1.125,$B11/E$10)</f>
        <v>16</v>
      </c>
      <c r="F11" s="7">
        <f t="shared" ref="F11:F56" si="3">IF($B11&gt;45,($B11/F$10)*1.125,$B11/F$10)</f>
        <v>13.333333333333334</v>
      </c>
      <c r="G11" s="7">
        <f t="shared" ref="G11:G56" si="4">IF($B11&gt;45,($B11/G$10)*1.125,$B11/G$10)</f>
        <v>11.428571428571429</v>
      </c>
      <c r="H11" s="7">
        <f t="shared" ref="H11:H56" si="5">IF($B11&gt;45,($B11/H$10)*1.125,$B11/H$10)</f>
        <v>10</v>
      </c>
      <c r="I11" s="7">
        <f t="shared" ref="I11:I56" si="6">IF($B11&gt;45,($B11/I$10)*1.125,$B11/I$10)</f>
        <v>8.8888888888888893</v>
      </c>
      <c r="J11" s="7">
        <f t="shared" ref="J11:J56" si="7">IF($B11&gt;45,($B11/J$10)*1.125,$B11/J$10)</f>
        <v>8</v>
      </c>
      <c r="K11" s="7">
        <f t="shared" ref="K11:K56" si="8">IF($B11&gt;45,($B11/K$10)*1.125,$B11/K$10)</f>
        <v>7.2727272727272725</v>
      </c>
      <c r="L11" s="7">
        <f t="shared" ref="L11:L56" si="9">IF($B11&gt;45,($B11/L$10)*1.125,$B11/L$10)</f>
        <v>6.666666666666667</v>
      </c>
      <c r="M11" s="7">
        <f t="shared" ref="M11:M56" si="10">IF($B11&gt;45,($B11/M$10)*1.125,$B11/M$10)</f>
        <v>6.1538461538461542</v>
      </c>
      <c r="N11" s="7">
        <f t="shared" ref="N11:N56" si="11">IF($B11&gt;45,($B11/N$10)*1.125,$B11/N$10)</f>
        <v>5.7142857142857144</v>
      </c>
      <c r="O11" s="7">
        <f t="shared" ref="O11:O56" si="12">IF($B11&gt;45,($B11/O$10)*1.125,$B11/O$10)</f>
        <v>5.333333333333333</v>
      </c>
      <c r="P11" s="7">
        <f t="shared" ref="P11:P56" si="13">IF($B11&gt;45,($B11/P$10)*1.125,$B11/P$10)</f>
        <v>5</v>
      </c>
    </row>
    <row r="12" spans="2:16" ht="12" customHeight="1" x14ac:dyDescent="0.2">
      <c r="B12" s="6">
        <v>11</v>
      </c>
      <c r="C12" s="7">
        <f t="shared" si="0"/>
        <v>29.333333333333332</v>
      </c>
      <c r="D12" s="7">
        <f t="shared" si="1"/>
        <v>22</v>
      </c>
      <c r="E12" s="7">
        <f t="shared" si="2"/>
        <v>17.600000000000001</v>
      </c>
      <c r="F12" s="7">
        <f t="shared" si="3"/>
        <v>14.666666666666666</v>
      </c>
      <c r="G12" s="7">
        <f t="shared" si="4"/>
        <v>12.571428571428571</v>
      </c>
      <c r="H12" s="7">
        <f t="shared" si="5"/>
        <v>11</v>
      </c>
      <c r="I12" s="7">
        <f t="shared" si="6"/>
        <v>9.7777777777777786</v>
      </c>
      <c r="J12" s="7">
        <f t="shared" si="7"/>
        <v>8.8000000000000007</v>
      </c>
      <c r="K12" s="7">
        <f t="shared" si="8"/>
        <v>8</v>
      </c>
      <c r="L12" s="7">
        <f t="shared" si="9"/>
        <v>7.333333333333333</v>
      </c>
      <c r="M12" s="7">
        <f t="shared" si="10"/>
        <v>6.7692307692307692</v>
      </c>
      <c r="N12" s="7">
        <f t="shared" si="11"/>
        <v>6.2857142857142856</v>
      </c>
      <c r="O12" s="7">
        <f t="shared" si="12"/>
        <v>5.8666666666666663</v>
      </c>
      <c r="P12" s="7">
        <f t="shared" si="13"/>
        <v>5.5</v>
      </c>
    </row>
    <row r="13" spans="2:16" ht="12" customHeight="1" x14ac:dyDescent="0.2">
      <c r="B13" s="1">
        <v>12</v>
      </c>
      <c r="C13" s="7">
        <f t="shared" si="0"/>
        <v>32</v>
      </c>
      <c r="D13" s="7">
        <f t="shared" si="1"/>
        <v>24</v>
      </c>
      <c r="E13" s="7">
        <f t="shared" si="2"/>
        <v>19.2</v>
      </c>
      <c r="F13" s="7">
        <f t="shared" si="3"/>
        <v>16</v>
      </c>
      <c r="G13" s="7">
        <f t="shared" si="4"/>
        <v>13.714285714285714</v>
      </c>
      <c r="H13" s="7">
        <f t="shared" si="5"/>
        <v>12</v>
      </c>
      <c r="I13" s="7">
        <f t="shared" si="6"/>
        <v>10.666666666666666</v>
      </c>
      <c r="J13" s="7">
        <f t="shared" si="7"/>
        <v>9.6</v>
      </c>
      <c r="K13" s="7">
        <f t="shared" si="8"/>
        <v>8.7272727272727266</v>
      </c>
      <c r="L13" s="7">
        <f t="shared" si="9"/>
        <v>8</v>
      </c>
      <c r="M13" s="7">
        <f t="shared" si="10"/>
        <v>7.384615384615385</v>
      </c>
      <c r="N13" s="7">
        <f t="shared" si="11"/>
        <v>6.8571428571428568</v>
      </c>
      <c r="O13" s="7">
        <f t="shared" si="12"/>
        <v>6.4</v>
      </c>
      <c r="P13" s="7">
        <f t="shared" si="13"/>
        <v>6</v>
      </c>
    </row>
    <row r="14" spans="2:16" ht="12" customHeight="1" x14ac:dyDescent="0.2">
      <c r="B14" s="6">
        <v>13</v>
      </c>
      <c r="C14" s="7">
        <f t="shared" si="0"/>
        <v>34.666666666666664</v>
      </c>
      <c r="D14" s="7">
        <f t="shared" si="1"/>
        <v>26</v>
      </c>
      <c r="E14" s="7">
        <f t="shared" si="2"/>
        <v>20.8</v>
      </c>
      <c r="F14" s="7">
        <f t="shared" si="3"/>
        <v>17.333333333333332</v>
      </c>
      <c r="G14" s="7">
        <f t="shared" si="4"/>
        <v>14.857142857142858</v>
      </c>
      <c r="H14" s="7">
        <f t="shared" si="5"/>
        <v>13</v>
      </c>
      <c r="I14" s="7">
        <f t="shared" si="6"/>
        <v>11.555555555555555</v>
      </c>
      <c r="J14" s="7">
        <f t="shared" si="7"/>
        <v>10.4</v>
      </c>
      <c r="K14" s="7">
        <f t="shared" si="8"/>
        <v>9.454545454545455</v>
      </c>
      <c r="L14" s="7">
        <f t="shared" si="9"/>
        <v>8.6666666666666661</v>
      </c>
      <c r="M14" s="7">
        <f t="shared" si="10"/>
        <v>8</v>
      </c>
      <c r="N14" s="7">
        <f t="shared" si="11"/>
        <v>7.4285714285714288</v>
      </c>
      <c r="O14" s="7">
        <f t="shared" si="12"/>
        <v>6.9333333333333336</v>
      </c>
      <c r="P14" s="7">
        <f t="shared" si="13"/>
        <v>6.5</v>
      </c>
    </row>
    <row r="15" spans="2:16" ht="12" customHeight="1" x14ac:dyDescent="0.2">
      <c r="B15" s="1">
        <v>14</v>
      </c>
      <c r="C15" s="7">
        <f t="shared" si="0"/>
        <v>37.333333333333336</v>
      </c>
      <c r="D15" s="7">
        <f t="shared" si="1"/>
        <v>28</v>
      </c>
      <c r="E15" s="7">
        <f t="shared" si="2"/>
        <v>22.4</v>
      </c>
      <c r="F15" s="7">
        <f t="shared" si="3"/>
        <v>18.666666666666668</v>
      </c>
      <c r="G15" s="7">
        <f t="shared" si="4"/>
        <v>16</v>
      </c>
      <c r="H15" s="7">
        <f t="shared" si="5"/>
        <v>14</v>
      </c>
      <c r="I15" s="7">
        <f t="shared" si="6"/>
        <v>12.444444444444445</v>
      </c>
      <c r="J15" s="7">
        <f t="shared" si="7"/>
        <v>11.2</v>
      </c>
      <c r="K15" s="7">
        <f t="shared" si="8"/>
        <v>10.181818181818182</v>
      </c>
      <c r="L15" s="7">
        <f t="shared" si="9"/>
        <v>9.3333333333333339</v>
      </c>
      <c r="M15" s="7">
        <f t="shared" si="10"/>
        <v>8.615384615384615</v>
      </c>
      <c r="N15" s="7">
        <f t="shared" si="11"/>
        <v>8</v>
      </c>
      <c r="O15" s="7">
        <f t="shared" si="12"/>
        <v>7.4666666666666668</v>
      </c>
      <c r="P15" s="7">
        <f t="shared" si="13"/>
        <v>7</v>
      </c>
    </row>
    <row r="16" spans="2:16" ht="12" customHeight="1" x14ac:dyDescent="0.2">
      <c r="B16" s="6">
        <v>15</v>
      </c>
      <c r="C16" s="7">
        <f t="shared" si="0"/>
        <v>40</v>
      </c>
      <c r="D16" s="7">
        <f t="shared" si="1"/>
        <v>30</v>
      </c>
      <c r="E16" s="7">
        <f t="shared" si="2"/>
        <v>24</v>
      </c>
      <c r="F16" s="7">
        <f t="shared" si="3"/>
        <v>20</v>
      </c>
      <c r="G16" s="7">
        <f t="shared" si="4"/>
        <v>17.142857142857142</v>
      </c>
      <c r="H16" s="7">
        <f t="shared" si="5"/>
        <v>15</v>
      </c>
      <c r="I16" s="7">
        <f t="shared" si="6"/>
        <v>13.333333333333334</v>
      </c>
      <c r="J16" s="7">
        <f t="shared" si="7"/>
        <v>12</v>
      </c>
      <c r="K16" s="7">
        <f t="shared" si="8"/>
        <v>10.909090909090908</v>
      </c>
      <c r="L16" s="7">
        <f t="shared" si="9"/>
        <v>10</v>
      </c>
      <c r="M16" s="7">
        <f t="shared" si="10"/>
        <v>9.2307692307692299</v>
      </c>
      <c r="N16" s="7">
        <f t="shared" si="11"/>
        <v>8.5714285714285712</v>
      </c>
      <c r="O16" s="7">
        <f t="shared" si="12"/>
        <v>8</v>
      </c>
      <c r="P16" s="7">
        <f t="shared" si="13"/>
        <v>7.5</v>
      </c>
    </row>
    <row r="17" spans="2:16" ht="12" customHeight="1" x14ac:dyDescent="0.2">
      <c r="B17" s="1">
        <v>16</v>
      </c>
      <c r="C17" s="7">
        <f t="shared" si="0"/>
        <v>42.666666666666664</v>
      </c>
      <c r="D17" s="7">
        <f t="shared" si="1"/>
        <v>32</v>
      </c>
      <c r="E17" s="7">
        <f t="shared" si="2"/>
        <v>25.6</v>
      </c>
      <c r="F17" s="7">
        <f t="shared" si="3"/>
        <v>21.333333333333332</v>
      </c>
      <c r="G17" s="7">
        <f t="shared" si="4"/>
        <v>18.285714285714285</v>
      </c>
      <c r="H17" s="7">
        <f t="shared" si="5"/>
        <v>16</v>
      </c>
      <c r="I17" s="7">
        <f t="shared" si="6"/>
        <v>14.222222222222221</v>
      </c>
      <c r="J17" s="7">
        <f t="shared" si="7"/>
        <v>12.8</v>
      </c>
      <c r="K17" s="7">
        <f t="shared" si="8"/>
        <v>11.636363636363637</v>
      </c>
      <c r="L17" s="7">
        <f t="shared" si="9"/>
        <v>10.666666666666666</v>
      </c>
      <c r="M17" s="7">
        <f t="shared" si="10"/>
        <v>9.8461538461538467</v>
      </c>
      <c r="N17" s="7">
        <f t="shared" si="11"/>
        <v>9.1428571428571423</v>
      </c>
      <c r="O17" s="7">
        <f t="shared" si="12"/>
        <v>8.5333333333333332</v>
      </c>
      <c r="P17" s="7">
        <f t="shared" si="13"/>
        <v>8</v>
      </c>
    </row>
    <row r="18" spans="2:16" ht="12" customHeight="1" x14ac:dyDescent="0.2">
      <c r="B18" s="6">
        <v>17</v>
      </c>
      <c r="C18" s="7">
        <f t="shared" si="0"/>
        <v>45.333333333333336</v>
      </c>
      <c r="D18" s="7">
        <f t="shared" si="1"/>
        <v>34</v>
      </c>
      <c r="E18" s="7">
        <f t="shared" si="2"/>
        <v>27.2</v>
      </c>
      <c r="F18" s="7">
        <f t="shared" si="3"/>
        <v>22.666666666666668</v>
      </c>
      <c r="G18" s="7">
        <f t="shared" si="4"/>
        <v>19.428571428571427</v>
      </c>
      <c r="H18" s="7">
        <f t="shared" si="5"/>
        <v>17</v>
      </c>
      <c r="I18" s="7">
        <f t="shared" si="6"/>
        <v>15.111111111111111</v>
      </c>
      <c r="J18" s="7">
        <f t="shared" si="7"/>
        <v>13.6</v>
      </c>
      <c r="K18" s="7">
        <f t="shared" si="8"/>
        <v>12.363636363636363</v>
      </c>
      <c r="L18" s="7">
        <f t="shared" si="9"/>
        <v>11.333333333333334</v>
      </c>
      <c r="M18" s="7">
        <f t="shared" si="10"/>
        <v>10.461538461538462</v>
      </c>
      <c r="N18" s="7">
        <f t="shared" si="11"/>
        <v>9.7142857142857135</v>
      </c>
      <c r="O18" s="7">
        <f t="shared" si="12"/>
        <v>9.0666666666666664</v>
      </c>
      <c r="P18" s="7">
        <f t="shared" si="13"/>
        <v>8.5</v>
      </c>
    </row>
    <row r="19" spans="2:16" ht="12" customHeight="1" x14ac:dyDescent="0.2">
      <c r="B19" s="1">
        <v>18</v>
      </c>
      <c r="C19" s="7">
        <f t="shared" si="0"/>
        <v>48</v>
      </c>
      <c r="D19" s="7">
        <f t="shared" si="1"/>
        <v>36</v>
      </c>
      <c r="E19" s="7">
        <f t="shared" si="2"/>
        <v>28.8</v>
      </c>
      <c r="F19" s="7">
        <f t="shared" si="3"/>
        <v>24</v>
      </c>
      <c r="G19" s="7">
        <f t="shared" si="4"/>
        <v>20.571428571428573</v>
      </c>
      <c r="H19" s="7">
        <f t="shared" si="5"/>
        <v>18</v>
      </c>
      <c r="I19" s="7">
        <f t="shared" si="6"/>
        <v>16</v>
      </c>
      <c r="J19" s="7">
        <f t="shared" si="7"/>
        <v>14.4</v>
      </c>
      <c r="K19" s="7">
        <f t="shared" si="8"/>
        <v>13.090909090909092</v>
      </c>
      <c r="L19" s="7">
        <f t="shared" si="9"/>
        <v>12</v>
      </c>
      <c r="M19" s="7">
        <f t="shared" si="10"/>
        <v>11.076923076923077</v>
      </c>
      <c r="N19" s="7">
        <f t="shared" si="11"/>
        <v>10.285714285714286</v>
      </c>
      <c r="O19" s="7">
        <f t="shared" si="12"/>
        <v>9.6</v>
      </c>
      <c r="P19" s="7">
        <f t="shared" si="13"/>
        <v>9</v>
      </c>
    </row>
    <row r="20" spans="2:16" ht="12" customHeight="1" x14ac:dyDescent="0.2">
      <c r="B20" s="6">
        <v>19</v>
      </c>
      <c r="C20" s="7">
        <f t="shared" si="0"/>
        <v>50.666666666666664</v>
      </c>
      <c r="D20" s="7">
        <f t="shared" si="1"/>
        <v>38</v>
      </c>
      <c r="E20" s="7">
        <f t="shared" si="2"/>
        <v>30.4</v>
      </c>
      <c r="F20" s="7">
        <f t="shared" si="3"/>
        <v>25.333333333333332</v>
      </c>
      <c r="G20" s="7">
        <f t="shared" si="4"/>
        <v>21.714285714285715</v>
      </c>
      <c r="H20" s="7">
        <f t="shared" si="5"/>
        <v>19</v>
      </c>
      <c r="I20" s="7">
        <f t="shared" si="6"/>
        <v>16.888888888888889</v>
      </c>
      <c r="J20" s="7">
        <f t="shared" si="7"/>
        <v>15.2</v>
      </c>
      <c r="K20" s="7">
        <f t="shared" si="8"/>
        <v>13.818181818181818</v>
      </c>
      <c r="L20" s="7">
        <f t="shared" si="9"/>
        <v>12.666666666666666</v>
      </c>
      <c r="M20" s="7">
        <f t="shared" si="10"/>
        <v>11.692307692307692</v>
      </c>
      <c r="N20" s="7">
        <f t="shared" si="11"/>
        <v>10.857142857142858</v>
      </c>
      <c r="O20" s="7">
        <f t="shared" si="12"/>
        <v>10.133333333333333</v>
      </c>
      <c r="P20" s="7">
        <f t="shared" si="13"/>
        <v>9.5</v>
      </c>
    </row>
    <row r="21" spans="2:16" ht="12" customHeight="1" x14ac:dyDescent="0.2">
      <c r="B21" s="5">
        <v>20</v>
      </c>
      <c r="C21" s="7">
        <f t="shared" si="0"/>
        <v>53.333333333333336</v>
      </c>
      <c r="D21" s="7">
        <f t="shared" si="1"/>
        <v>40</v>
      </c>
      <c r="E21" s="7">
        <f t="shared" si="2"/>
        <v>32</v>
      </c>
      <c r="F21" s="7">
        <f t="shared" si="3"/>
        <v>26.666666666666668</v>
      </c>
      <c r="G21" s="7">
        <f t="shared" si="4"/>
        <v>22.857142857142858</v>
      </c>
      <c r="H21" s="7">
        <f t="shared" si="5"/>
        <v>20</v>
      </c>
      <c r="I21" s="7">
        <f t="shared" si="6"/>
        <v>17.777777777777779</v>
      </c>
      <c r="J21" s="7">
        <f t="shared" si="7"/>
        <v>16</v>
      </c>
      <c r="K21" s="7">
        <f t="shared" si="8"/>
        <v>14.545454545454545</v>
      </c>
      <c r="L21" s="7">
        <f t="shared" si="9"/>
        <v>13.333333333333334</v>
      </c>
      <c r="M21" s="7">
        <f t="shared" si="10"/>
        <v>12.307692307692308</v>
      </c>
      <c r="N21" s="7">
        <f t="shared" si="11"/>
        <v>11.428571428571429</v>
      </c>
      <c r="O21" s="7">
        <f t="shared" si="12"/>
        <v>10.666666666666666</v>
      </c>
      <c r="P21" s="7">
        <f t="shared" si="13"/>
        <v>10</v>
      </c>
    </row>
    <row r="22" spans="2:16" ht="12" customHeight="1" x14ac:dyDescent="0.2">
      <c r="B22" s="6">
        <v>21</v>
      </c>
      <c r="C22" s="7">
        <f t="shared" si="0"/>
        <v>56</v>
      </c>
      <c r="D22" s="7">
        <f t="shared" si="1"/>
        <v>42</v>
      </c>
      <c r="E22" s="7">
        <f t="shared" si="2"/>
        <v>33.6</v>
      </c>
      <c r="F22" s="7">
        <f t="shared" si="3"/>
        <v>28</v>
      </c>
      <c r="G22" s="7">
        <f t="shared" si="4"/>
        <v>24</v>
      </c>
      <c r="H22" s="7">
        <f t="shared" si="5"/>
        <v>21</v>
      </c>
      <c r="I22" s="7">
        <f t="shared" si="6"/>
        <v>18.666666666666668</v>
      </c>
      <c r="J22" s="7">
        <f t="shared" si="7"/>
        <v>16.8</v>
      </c>
      <c r="K22" s="7">
        <f t="shared" si="8"/>
        <v>15.272727272727273</v>
      </c>
      <c r="L22" s="7">
        <f t="shared" si="9"/>
        <v>14</v>
      </c>
      <c r="M22" s="7">
        <f t="shared" si="10"/>
        <v>12.923076923076923</v>
      </c>
      <c r="N22" s="7">
        <f t="shared" si="11"/>
        <v>12</v>
      </c>
      <c r="O22" s="7">
        <f t="shared" si="12"/>
        <v>11.2</v>
      </c>
      <c r="P22" s="7">
        <f t="shared" si="13"/>
        <v>10.5</v>
      </c>
    </row>
    <row r="23" spans="2:16" ht="12" customHeight="1" x14ac:dyDescent="0.2">
      <c r="B23" s="1">
        <v>22</v>
      </c>
      <c r="C23" s="7">
        <f t="shared" si="0"/>
        <v>58.666666666666664</v>
      </c>
      <c r="D23" s="7">
        <f t="shared" si="1"/>
        <v>44</v>
      </c>
      <c r="E23" s="7">
        <f t="shared" si="2"/>
        <v>35.200000000000003</v>
      </c>
      <c r="F23" s="7">
        <f t="shared" si="3"/>
        <v>29.333333333333332</v>
      </c>
      <c r="G23" s="7">
        <f t="shared" si="4"/>
        <v>25.142857142857142</v>
      </c>
      <c r="H23" s="7">
        <f t="shared" si="5"/>
        <v>22</v>
      </c>
      <c r="I23" s="7">
        <f t="shared" si="6"/>
        <v>19.555555555555557</v>
      </c>
      <c r="J23" s="7">
        <f t="shared" si="7"/>
        <v>17.600000000000001</v>
      </c>
      <c r="K23" s="7">
        <f t="shared" si="8"/>
        <v>16</v>
      </c>
      <c r="L23" s="7">
        <f t="shared" si="9"/>
        <v>14.666666666666666</v>
      </c>
      <c r="M23" s="7">
        <f t="shared" si="10"/>
        <v>13.538461538461538</v>
      </c>
      <c r="N23" s="7">
        <f t="shared" si="11"/>
        <v>12.571428571428571</v>
      </c>
      <c r="O23" s="7">
        <f t="shared" si="12"/>
        <v>11.733333333333333</v>
      </c>
      <c r="P23" s="7">
        <f t="shared" si="13"/>
        <v>11</v>
      </c>
    </row>
    <row r="24" spans="2:16" ht="12" customHeight="1" x14ac:dyDescent="0.2">
      <c r="B24" s="6">
        <v>23</v>
      </c>
      <c r="C24" s="7">
        <f t="shared" si="0"/>
        <v>61.333333333333336</v>
      </c>
      <c r="D24" s="7">
        <f t="shared" si="1"/>
        <v>46</v>
      </c>
      <c r="E24" s="7">
        <f t="shared" si="2"/>
        <v>36.799999999999997</v>
      </c>
      <c r="F24" s="7">
        <f t="shared" si="3"/>
        <v>30.666666666666668</v>
      </c>
      <c r="G24" s="7">
        <f t="shared" si="4"/>
        <v>26.285714285714285</v>
      </c>
      <c r="H24" s="7">
        <f t="shared" si="5"/>
        <v>23</v>
      </c>
      <c r="I24" s="7">
        <f t="shared" si="6"/>
        <v>20.444444444444443</v>
      </c>
      <c r="J24" s="7">
        <f t="shared" si="7"/>
        <v>18.399999999999999</v>
      </c>
      <c r="K24" s="7">
        <f t="shared" si="8"/>
        <v>16.727272727272727</v>
      </c>
      <c r="L24" s="7">
        <f t="shared" si="9"/>
        <v>15.333333333333334</v>
      </c>
      <c r="M24" s="7">
        <f t="shared" si="10"/>
        <v>14.153846153846153</v>
      </c>
      <c r="N24" s="7">
        <f t="shared" si="11"/>
        <v>13.142857142857142</v>
      </c>
      <c r="O24" s="7">
        <f t="shared" si="12"/>
        <v>12.266666666666667</v>
      </c>
      <c r="P24" s="7">
        <f t="shared" si="13"/>
        <v>11.5</v>
      </c>
    </row>
    <row r="25" spans="2:16" ht="12" customHeight="1" x14ac:dyDescent="0.2">
      <c r="B25" s="1">
        <v>24</v>
      </c>
      <c r="C25" s="7">
        <f t="shared" si="0"/>
        <v>64</v>
      </c>
      <c r="D25" s="7">
        <f t="shared" si="1"/>
        <v>48</v>
      </c>
      <c r="E25" s="7">
        <f t="shared" si="2"/>
        <v>38.4</v>
      </c>
      <c r="F25" s="7">
        <f t="shared" si="3"/>
        <v>32</v>
      </c>
      <c r="G25" s="7">
        <f t="shared" si="4"/>
        <v>27.428571428571427</v>
      </c>
      <c r="H25" s="7">
        <f t="shared" si="5"/>
        <v>24</v>
      </c>
      <c r="I25" s="7">
        <f t="shared" si="6"/>
        <v>21.333333333333332</v>
      </c>
      <c r="J25" s="7">
        <f t="shared" si="7"/>
        <v>19.2</v>
      </c>
      <c r="K25" s="7">
        <f t="shared" si="8"/>
        <v>17.454545454545453</v>
      </c>
      <c r="L25" s="7">
        <f t="shared" si="9"/>
        <v>16</v>
      </c>
      <c r="M25" s="7">
        <f t="shared" si="10"/>
        <v>14.76923076923077</v>
      </c>
      <c r="N25" s="7">
        <f t="shared" si="11"/>
        <v>13.714285714285714</v>
      </c>
      <c r="O25" s="7">
        <f t="shared" si="12"/>
        <v>12.8</v>
      </c>
      <c r="P25" s="7">
        <f t="shared" si="13"/>
        <v>12</v>
      </c>
    </row>
    <row r="26" spans="2:16" ht="12" customHeight="1" x14ac:dyDescent="0.2">
      <c r="B26" s="6">
        <v>25</v>
      </c>
      <c r="C26" s="7">
        <f t="shared" si="0"/>
        <v>66.666666666666671</v>
      </c>
      <c r="D26" s="7">
        <f t="shared" si="1"/>
        <v>50</v>
      </c>
      <c r="E26" s="7">
        <f t="shared" si="2"/>
        <v>40</v>
      </c>
      <c r="F26" s="7">
        <f t="shared" si="3"/>
        <v>33.333333333333336</v>
      </c>
      <c r="G26" s="7">
        <f t="shared" si="4"/>
        <v>28.571428571428573</v>
      </c>
      <c r="H26" s="7">
        <f t="shared" si="5"/>
        <v>25</v>
      </c>
      <c r="I26" s="7">
        <f t="shared" si="6"/>
        <v>22.222222222222221</v>
      </c>
      <c r="J26" s="7">
        <f t="shared" si="7"/>
        <v>20</v>
      </c>
      <c r="K26" s="7">
        <f t="shared" si="8"/>
        <v>18.181818181818183</v>
      </c>
      <c r="L26" s="7">
        <f t="shared" si="9"/>
        <v>16.666666666666668</v>
      </c>
      <c r="M26" s="7">
        <f t="shared" si="10"/>
        <v>15.384615384615385</v>
      </c>
      <c r="N26" s="7">
        <f t="shared" si="11"/>
        <v>14.285714285714286</v>
      </c>
      <c r="O26" s="7">
        <f t="shared" si="12"/>
        <v>13.333333333333334</v>
      </c>
      <c r="P26" s="7">
        <f t="shared" si="13"/>
        <v>12.5</v>
      </c>
    </row>
    <row r="27" spans="2:16" ht="12" customHeight="1" x14ac:dyDescent="0.2">
      <c r="B27" s="1">
        <v>26</v>
      </c>
      <c r="C27" s="7">
        <f t="shared" si="0"/>
        <v>69.333333333333329</v>
      </c>
      <c r="D27" s="7">
        <f t="shared" si="1"/>
        <v>52</v>
      </c>
      <c r="E27" s="7">
        <f t="shared" si="2"/>
        <v>41.6</v>
      </c>
      <c r="F27" s="7">
        <f t="shared" si="3"/>
        <v>34.666666666666664</v>
      </c>
      <c r="G27" s="7">
        <f t="shared" si="4"/>
        <v>29.714285714285715</v>
      </c>
      <c r="H27" s="7">
        <f t="shared" si="5"/>
        <v>26</v>
      </c>
      <c r="I27" s="7">
        <f t="shared" si="6"/>
        <v>23.111111111111111</v>
      </c>
      <c r="J27" s="7">
        <f t="shared" si="7"/>
        <v>20.8</v>
      </c>
      <c r="K27" s="7">
        <f t="shared" si="8"/>
        <v>18.90909090909091</v>
      </c>
      <c r="L27" s="7">
        <f t="shared" si="9"/>
        <v>17.333333333333332</v>
      </c>
      <c r="M27" s="7">
        <f t="shared" si="10"/>
        <v>16</v>
      </c>
      <c r="N27" s="7">
        <f t="shared" si="11"/>
        <v>14.857142857142858</v>
      </c>
      <c r="O27" s="7">
        <f t="shared" si="12"/>
        <v>13.866666666666667</v>
      </c>
      <c r="P27" s="7">
        <f t="shared" si="13"/>
        <v>13</v>
      </c>
    </row>
    <row r="28" spans="2:16" ht="12" customHeight="1" x14ac:dyDescent="0.2">
      <c r="B28" s="6">
        <v>27</v>
      </c>
      <c r="C28" s="7">
        <f t="shared" si="0"/>
        <v>72</v>
      </c>
      <c r="D28" s="7">
        <f t="shared" si="1"/>
        <v>54</v>
      </c>
      <c r="E28" s="7">
        <f t="shared" si="2"/>
        <v>43.2</v>
      </c>
      <c r="F28" s="7">
        <f t="shared" si="3"/>
        <v>36</v>
      </c>
      <c r="G28" s="7">
        <f t="shared" si="4"/>
        <v>30.857142857142858</v>
      </c>
      <c r="H28" s="7">
        <f t="shared" si="5"/>
        <v>27</v>
      </c>
      <c r="I28" s="7">
        <f t="shared" si="6"/>
        <v>24</v>
      </c>
      <c r="J28" s="7">
        <f t="shared" si="7"/>
        <v>21.6</v>
      </c>
      <c r="K28" s="7">
        <f t="shared" si="8"/>
        <v>19.636363636363637</v>
      </c>
      <c r="L28" s="7">
        <f t="shared" si="9"/>
        <v>18</v>
      </c>
      <c r="M28" s="7">
        <f t="shared" si="10"/>
        <v>16.615384615384617</v>
      </c>
      <c r="N28" s="7">
        <f t="shared" si="11"/>
        <v>15.428571428571429</v>
      </c>
      <c r="O28" s="7">
        <f t="shared" si="12"/>
        <v>14.4</v>
      </c>
      <c r="P28" s="7">
        <f t="shared" si="13"/>
        <v>13.5</v>
      </c>
    </row>
    <row r="29" spans="2:16" ht="12" customHeight="1" x14ac:dyDescent="0.2">
      <c r="B29" s="1">
        <v>28</v>
      </c>
      <c r="C29" s="7">
        <f t="shared" si="0"/>
        <v>74.666666666666671</v>
      </c>
      <c r="D29" s="7">
        <f t="shared" si="1"/>
        <v>56</v>
      </c>
      <c r="E29" s="7">
        <f t="shared" si="2"/>
        <v>44.8</v>
      </c>
      <c r="F29" s="7">
        <f t="shared" si="3"/>
        <v>37.333333333333336</v>
      </c>
      <c r="G29" s="7">
        <f t="shared" si="4"/>
        <v>32</v>
      </c>
      <c r="H29" s="7">
        <f t="shared" si="5"/>
        <v>28</v>
      </c>
      <c r="I29" s="7">
        <f t="shared" si="6"/>
        <v>24.888888888888889</v>
      </c>
      <c r="J29" s="7">
        <f t="shared" si="7"/>
        <v>22.4</v>
      </c>
      <c r="K29" s="7">
        <f t="shared" si="8"/>
        <v>20.363636363636363</v>
      </c>
      <c r="L29" s="7">
        <f t="shared" si="9"/>
        <v>18.666666666666668</v>
      </c>
      <c r="M29" s="7">
        <f t="shared" si="10"/>
        <v>17.23076923076923</v>
      </c>
      <c r="N29" s="7">
        <f t="shared" si="11"/>
        <v>16</v>
      </c>
      <c r="O29" s="7">
        <f t="shared" si="12"/>
        <v>14.933333333333334</v>
      </c>
      <c r="P29" s="7">
        <f t="shared" si="13"/>
        <v>14</v>
      </c>
    </row>
    <row r="30" spans="2:16" ht="12" customHeight="1" x14ac:dyDescent="0.2">
      <c r="B30" s="6">
        <v>29</v>
      </c>
      <c r="C30" s="7">
        <f t="shared" si="0"/>
        <v>77.333333333333329</v>
      </c>
      <c r="D30" s="7">
        <f t="shared" si="1"/>
        <v>58</v>
      </c>
      <c r="E30" s="7">
        <f t="shared" si="2"/>
        <v>46.4</v>
      </c>
      <c r="F30" s="7">
        <f t="shared" si="3"/>
        <v>38.666666666666664</v>
      </c>
      <c r="G30" s="7">
        <f t="shared" si="4"/>
        <v>33.142857142857146</v>
      </c>
      <c r="H30" s="7">
        <f t="shared" si="5"/>
        <v>29</v>
      </c>
      <c r="I30" s="7">
        <f t="shared" si="6"/>
        <v>25.777777777777779</v>
      </c>
      <c r="J30" s="7">
        <f t="shared" si="7"/>
        <v>23.2</v>
      </c>
      <c r="K30" s="7">
        <f t="shared" si="8"/>
        <v>21.09090909090909</v>
      </c>
      <c r="L30" s="7">
        <f t="shared" si="9"/>
        <v>19.333333333333332</v>
      </c>
      <c r="M30" s="7">
        <f t="shared" si="10"/>
        <v>17.846153846153847</v>
      </c>
      <c r="N30" s="7">
        <f t="shared" si="11"/>
        <v>16.571428571428573</v>
      </c>
      <c r="O30" s="7">
        <f t="shared" si="12"/>
        <v>15.466666666666667</v>
      </c>
      <c r="P30" s="7">
        <f t="shared" si="13"/>
        <v>14.5</v>
      </c>
    </row>
    <row r="31" spans="2:16" ht="12" customHeight="1" x14ac:dyDescent="0.2">
      <c r="B31" s="5">
        <v>30</v>
      </c>
      <c r="C31" s="7">
        <f t="shared" si="0"/>
        <v>80</v>
      </c>
      <c r="D31" s="7">
        <f t="shared" si="1"/>
        <v>60</v>
      </c>
      <c r="E31" s="7">
        <f t="shared" si="2"/>
        <v>48</v>
      </c>
      <c r="F31" s="7">
        <f t="shared" si="3"/>
        <v>40</v>
      </c>
      <c r="G31" s="7">
        <f t="shared" si="4"/>
        <v>34.285714285714285</v>
      </c>
      <c r="H31" s="7">
        <f t="shared" si="5"/>
        <v>30</v>
      </c>
      <c r="I31" s="7">
        <f t="shared" si="6"/>
        <v>26.666666666666668</v>
      </c>
      <c r="J31" s="7">
        <f t="shared" si="7"/>
        <v>24</v>
      </c>
      <c r="K31" s="7">
        <f t="shared" si="8"/>
        <v>21.818181818181817</v>
      </c>
      <c r="L31" s="7">
        <f t="shared" si="9"/>
        <v>20</v>
      </c>
      <c r="M31" s="7">
        <f t="shared" si="10"/>
        <v>18.46153846153846</v>
      </c>
      <c r="N31" s="7">
        <f t="shared" si="11"/>
        <v>17.142857142857142</v>
      </c>
      <c r="O31" s="7">
        <f t="shared" si="12"/>
        <v>16</v>
      </c>
      <c r="P31" s="7">
        <f t="shared" si="13"/>
        <v>15</v>
      </c>
    </row>
    <row r="32" spans="2:16" ht="12" customHeight="1" x14ac:dyDescent="0.2">
      <c r="B32" s="6">
        <v>31</v>
      </c>
      <c r="C32" s="7">
        <f t="shared" si="0"/>
        <v>82.666666666666671</v>
      </c>
      <c r="D32" s="7">
        <f t="shared" si="1"/>
        <v>62</v>
      </c>
      <c r="E32" s="7">
        <f t="shared" si="2"/>
        <v>49.6</v>
      </c>
      <c r="F32" s="7">
        <f t="shared" si="3"/>
        <v>41.333333333333336</v>
      </c>
      <c r="G32" s="7">
        <f t="shared" si="4"/>
        <v>35.428571428571431</v>
      </c>
      <c r="H32" s="7">
        <f t="shared" si="5"/>
        <v>31</v>
      </c>
      <c r="I32" s="7">
        <f t="shared" si="6"/>
        <v>27.555555555555557</v>
      </c>
      <c r="J32" s="7">
        <f t="shared" si="7"/>
        <v>24.8</v>
      </c>
      <c r="K32" s="7">
        <f t="shared" si="8"/>
        <v>22.545454545454547</v>
      </c>
      <c r="L32" s="7">
        <f t="shared" si="9"/>
        <v>20.666666666666668</v>
      </c>
      <c r="M32" s="7">
        <f t="shared" si="10"/>
        <v>19.076923076923077</v>
      </c>
      <c r="N32" s="7">
        <f t="shared" si="11"/>
        <v>17.714285714285715</v>
      </c>
      <c r="O32" s="7">
        <f t="shared" si="12"/>
        <v>16.533333333333335</v>
      </c>
      <c r="P32" s="7">
        <f t="shared" si="13"/>
        <v>15.5</v>
      </c>
    </row>
    <row r="33" spans="2:16" ht="12" customHeight="1" x14ac:dyDescent="0.2">
      <c r="B33" s="1">
        <v>32</v>
      </c>
      <c r="C33" s="7">
        <f t="shared" si="0"/>
        <v>85.333333333333329</v>
      </c>
      <c r="D33" s="7">
        <f t="shared" si="1"/>
        <v>64</v>
      </c>
      <c r="E33" s="7">
        <f t="shared" si="2"/>
        <v>51.2</v>
      </c>
      <c r="F33" s="7">
        <f t="shared" si="3"/>
        <v>42.666666666666664</v>
      </c>
      <c r="G33" s="7">
        <f t="shared" si="4"/>
        <v>36.571428571428569</v>
      </c>
      <c r="H33" s="7">
        <f t="shared" si="5"/>
        <v>32</v>
      </c>
      <c r="I33" s="7">
        <f t="shared" si="6"/>
        <v>28.444444444444443</v>
      </c>
      <c r="J33" s="7">
        <f t="shared" si="7"/>
        <v>25.6</v>
      </c>
      <c r="K33" s="7">
        <f t="shared" si="8"/>
        <v>23.272727272727273</v>
      </c>
      <c r="L33" s="7">
        <f t="shared" si="9"/>
        <v>21.333333333333332</v>
      </c>
      <c r="M33" s="7">
        <f t="shared" si="10"/>
        <v>19.692307692307693</v>
      </c>
      <c r="N33" s="7">
        <f t="shared" si="11"/>
        <v>18.285714285714285</v>
      </c>
      <c r="O33" s="7">
        <f t="shared" si="12"/>
        <v>17.066666666666666</v>
      </c>
      <c r="P33" s="7">
        <f t="shared" si="13"/>
        <v>16</v>
      </c>
    </row>
    <row r="34" spans="2:16" ht="12" customHeight="1" x14ac:dyDescent="0.2">
      <c r="B34" s="6">
        <v>33</v>
      </c>
      <c r="C34" s="7">
        <f t="shared" si="0"/>
        <v>88</v>
      </c>
      <c r="D34" s="7">
        <f t="shared" si="1"/>
        <v>66</v>
      </c>
      <c r="E34" s="7">
        <f t="shared" si="2"/>
        <v>52.8</v>
      </c>
      <c r="F34" s="7">
        <f t="shared" si="3"/>
        <v>44</v>
      </c>
      <c r="G34" s="7">
        <f t="shared" si="4"/>
        <v>37.714285714285715</v>
      </c>
      <c r="H34" s="7">
        <f t="shared" si="5"/>
        <v>33</v>
      </c>
      <c r="I34" s="7">
        <f t="shared" si="6"/>
        <v>29.333333333333332</v>
      </c>
      <c r="J34" s="7">
        <f t="shared" si="7"/>
        <v>26.4</v>
      </c>
      <c r="K34" s="7">
        <f t="shared" si="8"/>
        <v>24</v>
      </c>
      <c r="L34" s="7">
        <f t="shared" si="9"/>
        <v>22</v>
      </c>
      <c r="M34" s="7">
        <f t="shared" si="10"/>
        <v>20.307692307692307</v>
      </c>
      <c r="N34" s="7">
        <f t="shared" si="11"/>
        <v>18.857142857142858</v>
      </c>
      <c r="O34" s="7">
        <f t="shared" si="12"/>
        <v>17.600000000000001</v>
      </c>
      <c r="P34" s="7">
        <f t="shared" si="13"/>
        <v>16.5</v>
      </c>
    </row>
    <row r="35" spans="2:16" ht="12" customHeight="1" x14ac:dyDescent="0.2">
      <c r="B35" s="1">
        <v>34</v>
      </c>
      <c r="C35" s="7">
        <f t="shared" si="0"/>
        <v>90.666666666666671</v>
      </c>
      <c r="D35" s="7">
        <f t="shared" si="1"/>
        <v>68</v>
      </c>
      <c r="E35" s="7">
        <f t="shared" si="2"/>
        <v>54.4</v>
      </c>
      <c r="F35" s="7">
        <f t="shared" si="3"/>
        <v>45.333333333333336</v>
      </c>
      <c r="G35" s="7">
        <f t="shared" si="4"/>
        <v>38.857142857142854</v>
      </c>
      <c r="H35" s="7">
        <f t="shared" si="5"/>
        <v>34</v>
      </c>
      <c r="I35" s="7">
        <f t="shared" si="6"/>
        <v>30.222222222222221</v>
      </c>
      <c r="J35" s="7">
        <f t="shared" si="7"/>
        <v>27.2</v>
      </c>
      <c r="K35" s="7">
        <f t="shared" si="8"/>
        <v>24.727272727272727</v>
      </c>
      <c r="L35" s="7">
        <f t="shared" si="9"/>
        <v>22.666666666666668</v>
      </c>
      <c r="M35" s="7">
        <f t="shared" si="10"/>
        <v>20.923076923076923</v>
      </c>
      <c r="N35" s="7">
        <f t="shared" si="11"/>
        <v>19.428571428571427</v>
      </c>
      <c r="O35" s="7">
        <f t="shared" si="12"/>
        <v>18.133333333333333</v>
      </c>
      <c r="P35" s="7">
        <f t="shared" si="13"/>
        <v>17</v>
      </c>
    </row>
    <row r="36" spans="2:16" ht="12" customHeight="1" x14ac:dyDescent="0.2">
      <c r="B36" s="6">
        <v>35</v>
      </c>
      <c r="C36" s="7">
        <f t="shared" si="0"/>
        <v>93.333333333333329</v>
      </c>
      <c r="D36" s="7">
        <f t="shared" si="1"/>
        <v>70</v>
      </c>
      <c r="E36" s="7">
        <f t="shared" si="2"/>
        <v>56</v>
      </c>
      <c r="F36" s="7">
        <f t="shared" si="3"/>
        <v>46.666666666666664</v>
      </c>
      <c r="G36" s="7">
        <f t="shared" si="4"/>
        <v>40</v>
      </c>
      <c r="H36" s="7">
        <f t="shared" si="5"/>
        <v>35</v>
      </c>
      <c r="I36" s="7">
        <f t="shared" si="6"/>
        <v>31.111111111111111</v>
      </c>
      <c r="J36" s="7">
        <f t="shared" si="7"/>
        <v>28</v>
      </c>
      <c r="K36" s="7">
        <f t="shared" si="8"/>
        <v>25.454545454545453</v>
      </c>
      <c r="L36" s="7">
        <f t="shared" si="9"/>
        <v>23.333333333333332</v>
      </c>
      <c r="M36" s="7">
        <f t="shared" si="10"/>
        <v>21.53846153846154</v>
      </c>
      <c r="N36" s="7">
        <f t="shared" si="11"/>
        <v>20</v>
      </c>
      <c r="O36" s="7">
        <f t="shared" si="12"/>
        <v>18.666666666666668</v>
      </c>
      <c r="P36" s="7">
        <f t="shared" si="13"/>
        <v>17.5</v>
      </c>
    </row>
    <row r="37" spans="2:16" ht="12" customHeight="1" x14ac:dyDescent="0.2">
      <c r="B37" s="1">
        <v>36</v>
      </c>
      <c r="C37" s="7">
        <f t="shared" si="0"/>
        <v>96</v>
      </c>
      <c r="D37" s="7">
        <f t="shared" si="1"/>
        <v>72</v>
      </c>
      <c r="E37" s="7">
        <f t="shared" si="2"/>
        <v>57.6</v>
      </c>
      <c r="F37" s="7">
        <f t="shared" si="3"/>
        <v>48</v>
      </c>
      <c r="G37" s="7">
        <f t="shared" si="4"/>
        <v>41.142857142857146</v>
      </c>
      <c r="H37" s="7">
        <f t="shared" si="5"/>
        <v>36</v>
      </c>
      <c r="I37" s="7">
        <f t="shared" si="6"/>
        <v>32</v>
      </c>
      <c r="J37" s="7">
        <f t="shared" si="7"/>
        <v>28.8</v>
      </c>
      <c r="K37" s="7">
        <f t="shared" si="8"/>
        <v>26.181818181818183</v>
      </c>
      <c r="L37" s="7">
        <f t="shared" si="9"/>
        <v>24</v>
      </c>
      <c r="M37" s="7">
        <f t="shared" si="10"/>
        <v>22.153846153846153</v>
      </c>
      <c r="N37" s="7">
        <f t="shared" si="11"/>
        <v>20.571428571428573</v>
      </c>
      <c r="O37" s="7">
        <f t="shared" si="12"/>
        <v>19.2</v>
      </c>
      <c r="P37" s="7">
        <f t="shared" si="13"/>
        <v>18</v>
      </c>
    </row>
    <row r="38" spans="2:16" ht="12" customHeight="1" x14ac:dyDescent="0.2">
      <c r="B38" s="6">
        <v>37</v>
      </c>
      <c r="C38" s="7">
        <f t="shared" si="0"/>
        <v>98.666666666666671</v>
      </c>
      <c r="D38" s="7">
        <f t="shared" si="1"/>
        <v>74</v>
      </c>
      <c r="E38" s="7">
        <f t="shared" si="2"/>
        <v>59.2</v>
      </c>
      <c r="F38" s="7">
        <f t="shared" si="3"/>
        <v>49.333333333333336</v>
      </c>
      <c r="G38" s="7">
        <f t="shared" si="4"/>
        <v>42.285714285714285</v>
      </c>
      <c r="H38" s="7">
        <f t="shared" si="5"/>
        <v>37</v>
      </c>
      <c r="I38" s="7">
        <f t="shared" si="6"/>
        <v>32.888888888888886</v>
      </c>
      <c r="J38" s="7">
        <f t="shared" si="7"/>
        <v>29.6</v>
      </c>
      <c r="K38" s="7">
        <f t="shared" si="8"/>
        <v>26.90909090909091</v>
      </c>
      <c r="L38" s="7">
        <f t="shared" si="9"/>
        <v>24.666666666666668</v>
      </c>
      <c r="M38" s="7">
        <f t="shared" si="10"/>
        <v>22.76923076923077</v>
      </c>
      <c r="N38" s="7">
        <f t="shared" si="11"/>
        <v>21.142857142857142</v>
      </c>
      <c r="O38" s="7">
        <f t="shared" si="12"/>
        <v>19.733333333333334</v>
      </c>
      <c r="P38" s="7">
        <f t="shared" si="13"/>
        <v>18.5</v>
      </c>
    </row>
    <row r="39" spans="2:16" ht="12" customHeight="1" x14ac:dyDescent="0.2">
      <c r="B39" s="1">
        <v>38</v>
      </c>
      <c r="C39" s="7">
        <f t="shared" si="0"/>
        <v>101.33333333333333</v>
      </c>
      <c r="D39" s="7">
        <f t="shared" si="1"/>
        <v>76</v>
      </c>
      <c r="E39" s="7">
        <f t="shared" si="2"/>
        <v>60.8</v>
      </c>
      <c r="F39" s="7">
        <f t="shared" si="3"/>
        <v>50.666666666666664</v>
      </c>
      <c r="G39" s="7">
        <f t="shared" si="4"/>
        <v>43.428571428571431</v>
      </c>
      <c r="H39" s="7">
        <f t="shared" si="5"/>
        <v>38</v>
      </c>
      <c r="I39" s="7">
        <f t="shared" si="6"/>
        <v>33.777777777777779</v>
      </c>
      <c r="J39" s="7">
        <f t="shared" si="7"/>
        <v>30.4</v>
      </c>
      <c r="K39" s="7">
        <f t="shared" si="8"/>
        <v>27.636363636363637</v>
      </c>
      <c r="L39" s="7">
        <f t="shared" si="9"/>
        <v>25.333333333333332</v>
      </c>
      <c r="M39" s="7">
        <f t="shared" si="10"/>
        <v>23.384615384615383</v>
      </c>
      <c r="N39" s="7">
        <f t="shared" si="11"/>
        <v>21.714285714285715</v>
      </c>
      <c r="O39" s="7">
        <f t="shared" si="12"/>
        <v>20.266666666666666</v>
      </c>
      <c r="P39" s="7">
        <f t="shared" si="13"/>
        <v>19</v>
      </c>
    </row>
    <row r="40" spans="2:16" ht="12" customHeight="1" x14ac:dyDescent="0.2">
      <c r="B40" s="6">
        <v>39</v>
      </c>
      <c r="C40" s="7">
        <f t="shared" si="0"/>
        <v>104</v>
      </c>
      <c r="D40" s="7">
        <f t="shared" si="1"/>
        <v>78</v>
      </c>
      <c r="E40" s="7">
        <f t="shared" si="2"/>
        <v>62.4</v>
      </c>
      <c r="F40" s="7">
        <f t="shared" si="3"/>
        <v>52</v>
      </c>
      <c r="G40" s="7">
        <f t="shared" si="4"/>
        <v>44.571428571428569</v>
      </c>
      <c r="H40" s="7">
        <f t="shared" si="5"/>
        <v>39</v>
      </c>
      <c r="I40" s="7">
        <f t="shared" si="6"/>
        <v>34.666666666666664</v>
      </c>
      <c r="J40" s="7">
        <f t="shared" si="7"/>
        <v>31.2</v>
      </c>
      <c r="K40" s="7">
        <f t="shared" si="8"/>
        <v>28.363636363636363</v>
      </c>
      <c r="L40" s="7">
        <f t="shared" si="9"/>
        <v>26</v>
      </c>
      <c r="M40" s="7">
        <f t="shared" si="10"/>
        <v>24</v>
      </c>
      <c r="N40" s="7">
        <f t="shared" si="11"/>
        <v>22.285714285714285</v>
      </c>
      <c r="O40" s="7">
        <f t="shared" si="12"/>
        <v>20.8</v>
      </c>
      <c r="P40" s="7">
        <f t="shared" si="13"/>
        <v>19.5</v>
      </c>
    </row>
    <row r="41" spans="2:16" ht="12" customHeight="1" x14ac:dyDescent="0.2">
      <c r="B41" s="5">
        <v>40</v>
      </c>
      <c r="C41" s="7">
        <f t="shared" si="0"/>
        <v>106.66666666666667</v>
      </c>
      <c r="D41" s="7">
        <f t="shared" si="1"/>
        <v>80</v>
      </c>
      <c r="E41" s="7">
        <f t="shared" si="2"/>
        <v>64</v>
      </c>
      <c r="F41" s="7">
        <f t="shared" si="3"/>
        <v>53.333333333333336</v>
      </c>
      <c r="G41" s="7">
        <f t="shared" si="4"/>
        <v>45.714285714285715</v>
      </c>
      <c r="H41" s="7">
        <f t="shared" si="5"/>
        <v>40</v>
      </c>
      <c r="I41" s="7">
        <f t="shared" si="6"/>
        <v>35.555555555555557</v>
      </c>
      <c r="J41" s="7">
        <f t="shared" si="7"/>
        <v>32</v>
      </c>
      <c r="K41" s="7">
        <f t="shared" si="8"/>
        <v>29.09090909090909</v>
      </c>
      <c r="L41" s="7">
        <f t="shared" si="9"/>
        <v>26.666666666666668</v>
      </c>
      <c r="M41" s="7">
        <f t="shared" si="10"/>
        <v>24.615384615384617</v>
      </c>
      <c r="N41" s="7">
        <f t="shared" si="11"/>
        <v>22.857142857142858</v>
      </c>
      <c r="O41" s="7">
        <f t="shared" si="12"/>
        <v>21.333333333333332</v>
      </c>
      <c r="P41" s="7">
        <f t="shared" si="13"/>
        <v>20</v>
      </c>
    </row>
    <row r="42" spans="2:16" ht="12" customHeight="1" x14ac:dyDescent="0.2">
      <c r="B42" s="6">
        <v>41</v>
      </c>
      <c r="C42" s="7">
        <f t="shared" si="0"/>
        <v>109.33333333333333</v>
      </c>
      <c r="D42" s="7">
        <f t="shared" si="1"/>
        <v>82</v>
      </c>
      <c r="E42" s="7">
        <f t="shared" si="2"/>
        <v>65.599999999999994</v>
      </c>
      <c r="F42" s="7">
        <f t="shared" si="3"/>
        <v>54.666666666666664</v>
      </c>
      <c r="G42" s="7">
        <f t="shared" si="4"/>
        <v>46.857142857142854</v>
      </c>
      <c r="H42" s="7">
        <f t="shared" si="5"/>
        <v>41</v>
      </c>
      <c r="I42" s="7">
        <f t="shared" si="6"/>
        <v>36.444444444444443</v>
      </c>
      <c r="J42" s="7">
        <f t="shared" si="7"/>
        <v>32.799999999999997</v>
      </c>
      <c r="K42" s="7">
        <f t="shared" si="8"/>
        <v>29.818181818181817</v>
      </c>
      <c r="L42" s="7">
        <f t="shared" si="9"/>
        <v>27.333333333333332</v>
      </c>
      <c r="M42" s="7">
        <f t="shared" si="10"/>
        <v>25.23076923076923</v>
      </c>
      <c r="N42" s="7">
        <f t="shared" si="11"/>
        <v>23.428571428571427</v>
      </c>
      <c r="O42" s="7">
        <f t="shared" si="12"/>
        <v>21.866666666666667</v>
      </c>
      <c r="P42" s="7">
        <f t="shared" si="13"/>
        <v>20.5</v>
      </c>
    </row>
    <row r="43" spans="2:16" ht="12" customHeight="1" x14ac:dyDescent="0.2">
      <c r="B43" s="1">
        <v>42</v>
      </c>
      <c r="C43" s="7">
        <f t="shared" si="0"/>
        <v>112</v>
      </c>
      <c r="D43" s="7">
        <f t="shared" si="1"/>
        <v>84</v>
      </c>
      <c r="E43" s="7">
        <f t="shared" si="2"/>
        <v>67.2</v>
      </c>
      <c r="F43" s="7">
        <f t="shared" si="3"/>
        <v>56</v>
      </c>
      <c r="G43" s="7">
        <f t="shared" si="4"/>
        <v>48</v>
      </c>
      <c r="H43" s="7">
        <f t="shared" si="5"/>
        <v>42</v>
      </c>
      <c r="I43" s="7">
        <f t="shared" si="6"/>
        <v>37.333333333333336</v>
      </c>
      <c r="J43" s="7">
        <f t="shared" si="7"/>
        <v>33.6</v>
      </c>
      <c r="K43" s="7">
        <f t="shared" si="8"/>
        <v>30.545454545454547</v>
      </c>
      <c r="L43" s="7">
        <f t="shared" si="9"/>
        <v>28</v>
      </c>
      <c r="M43" s="7">
        <f t="shared" si="10"/>
        <v>25.846153846153847</v>
      </c>
      <c r="N43" s="7">
        <f t="shared" si="11"/>
        <v>24</v>
      </c>
      <c r="O43" s="7">
        <f t="shared" si="12"/>
        <v>22.4</v>
      </c>
      <c r="P43" s="7">
        <f t="shared" si="13"/>
        <v>21</v>
      </c>
    </row>
    <row r="44" spans="2:16" ht="12" customHeight="1" x14ac:dyDescent="0.2">
      <c r="B44" s="6">
        <v>43</v>
      </c>
      <c r="C44" s="7">
        <f t="shared" si="0"/>
        <v>114.66666666666667</v>
      </c>
      <c r="D44" s="7">
        <f t="shared" si="1"/>
        <v>86</v>
      </c>
      <c r="E44" s="7">
        <f t="shared" si="2"/>
        <v>68.8</v>
      </c>
      <c r="F44" s="7">
        <f t="shared" si="3"/>
        <v>57.333333333333336</v>
      </c>
      <c r="G44" s="7">
        <f t="shared" si="4"/>
        <v>49.142857142857146</v>
      </c>
      <c r="H44" s="7">
        <f t="shared" si="5"/>
        <v>43</v>
      </c>
      <c r="I44" s="7">
        <f t="shared" si="6"/>
        <v>38.222222222222221</v>
      </c>
      <c r="J44" s="7">
        <f t="shared" si="7"/>
        <v>34.4</v>
      </c>
      <c r="K44" s="7">
        <f t="shared" si="8"/>
        <v>31.272727272727273</v>
      </c>
      <c r="L44" s="7">
        <f t="shared" si="9"/>
        <v>28.666666666666668</v>
      </c>
      <c r="M44" s="7">
        <f t="shared" si="10"/>
        <v>26.46153846153846</v>
      </c>
      <c r="N44" s="7">
        <f t="shared" si="11"/>
        <v>24.571428571428573</v>
      </c>
      <c r="O44" s="7">
        <f t="shared" si="12"/>
        <v>22.933333333333334</v>
      </c>
      <c r="P44" s="7">
        <f t="shared" si="13"/>
        <v>21.5</v>
      </c>
    </row>
    <row r="45" spans="2:16" ht="12" customHeight="1" x14ac:dyDescent="0.2">
      <c r="B45" s="1">
        <v>44</v>
      </c>
      <c r="C45" s="7">
        <f t="shared" si="0"/>
        <v>117.33333333333333</v>
      </c>
      <c r="D45" s="7">
        <f t="shared" si="1"/>
        <v>88</v>
      </c>
      <c r="E45" s="7">
        <f t="shared" si="2"/>
        <v>70.400000000000006</v>
      </c>
      <c r="F45" s="7">
        <f t="shared" si="3"/>
        <v>58.666666666666664</v>
      </c>
      <c r="G45" s="7">
        <f t="shared" si="4"/>
        <v>50.285714285714285</v>
      </c>
      <c r="H45" s="7">
        <f t="shared" si="5"/>
        <v>44</v>
      </c>
      <c r="I45" s="7">
        <f t="shared" si="6"/>
        <v>39.111111111111114</v>
      </c>
      <c r="J45" s="7">
        <f t="shared" si="7"/>
        <v>35.200000000000003</v>
      </c>
      <c r="K45" s="7">
        <f t="shared" si="8"/>
        <v>32</v>
      </c>
      <c r="L45" s="7">
        <f t="shared" si="9"/>
        <v>29.333333333333332</v>
      </c>
      <c r="M45" s="7">
        <f t="shared" si="10"/>
        <v>27.076923076923077</v>
      </c>
      <c r="N45" s="7">
        <f t="shared" si="11"/>
        <v>25.142857142857142</v>
      </c>
      <c r="O45" s="7">
        <f t="shared" si="12"/>
        <v>23.466666666666665</v>
      </c>
      <c r="P45" s="7">
        <f t="shared" si="13"/>
        <v>22</v>
      </c>
    </row>
    <row r="46" spans="2:16" ht="12" customHeight="1" x14ac:dyDescent="0.2">
      <c r="B46" s="6">
        <v>45</v>
      </c>
      <c r="C46" s="7">
        <f t="shared" si="0"/>
        <v>120</v>
      </c>
      <c r="D46" s="7">
        <f t="shared" si="1"/>
        <v>90</v>
      </c>
      <c r="E46" s="7">
        <f t="shared" si="2"/>
        <v>72</v>
      </c>
      <c r="F46" s="7">
        <f t="shared" si="3"/>
        <v>60</v>
      </c>
      <c r="G46" s="7">
        <f t="shared" si="4"/>
        <v>51.428571428571431</v>
      </c>
      <c r="H46" s="7">
        <f t="shared" si="5"/>
        <v>45</v>
      </c>
      <c r="I46" s="7">
        <f t="shared" si="6"/>
        <v>40</v>
      </c>
      <c r="J46" s="7">
        <f t="shared" si="7"/>
        <v>36</v>
      </c>
      <c r="K46" s="7">
        <f t="shared" si="8"/>
        <v>32.727272727272727</v>
      </c>
      <c r="L46" s="7">
        <f t="shared" si="9"/>
        <v>30</v>
      </c>
      <c r="M46" s="7">
        <f t="shared" si="10"/>
        <v>27.692307692307693</v>
      </c>
      <c r="N46" s="7">
        <f t="shared" si="11"/>
        <v>25.714285714285715</v>
      </c>
      <c r="O46" s="7">
        <f t="shared" si="12"/>
        <v>24</v>
      </c>
      <c r="P46" s="7">
        <f t="shared" si="13"/>
        <v>22.5</v>
      </c>
    </row>
    <row r="47" spans="2:16" ht="12" customHeight="1" x14ac:dyDescent="0.2">
      <c r="B47" s="1">
        <v>46</v>
      </c>
      <c r="C47" s="7">
        <f t="shared" si="0"/>
        <v>138</v>
      </c>
      <c r="D47" s="7">
        <f t="shared" si="1"/>
        <v>103.5</v>
      </c>
      <c r="E47" s="7">
        <f t="shared" si="2"/>
        <v>82.8</v>
      </c>
      <c r="F47" s="7">
        <f t="shared" si="3"/>
        <v>69</v>
      </c>
      <c r="G47" s="7">
        <f t="shared" si="4"/>
        <v>59.142857142857139</v>
      </c>
      <c r="H47" s="7">
        <f t="shared" si="5"/>
        <v>51.75</v>
      </c>
      <c r="I47" s="7">
        <f t="shared" si="6"/>
        <v>46</v>
      </c>
      <c r="J47" s="7">
        <f t="shared" si="7"/>
        <v>41.4</v>
      </c>
      <c r="K47" s="7">
        <f t="shared" si="8"/>
        <v>37.636363636363633</v>
      </c>
      <c r="L47" s="7">
        <f t="shared" si="9"/>
        <v>34.5</v>
      </c>
      <c r="M47" s="7">
        <f t="shared" si="10"/>
        <v>31.846153846153847</v>
      </c>
      <c r="N47" s="7">
        <f t="shared" si="11"/>
        <v>29.571428571428569</v>
      </c>
      <c r="O47" s="7">
        <f t="shared" si="12"/>
        <v>27.6</v>
      </c>
      <c r="P47" s="7">
        <f t="shared" si="13"/>
        <v>25.875</v>
      </c>
    </row>
    <row r="48" spans="2:16" ht="12" customHeight="1" x14ac:dyDescent="0.2">
      <c r="B48" s="6">
        <v>47</v>
      </c>
      <c r="C48" s="7">
        <f t="shared" si="0"/>
        <v>141</v>
      </c>
      <c r="D48" s="7">
        <f t="shared" si="1"/>
        <v>105.75</v>
      </c>
      <c r="E48" s="7">
        <f t="shared" si="2"/>
        <v>84.600000000000009</v>
      </c>
      <c r="F48" s="7">
        <f t="shared" si="3"/>
        <v>70.5</v>
      </c>
      <c r="G48" s="7">
        <f t="shared" si="4"/>
        <v>60.428571428571431</v>
      </c>
      <c r="H48" s="7">
        <f t="shared" si="5"/>
        <v>52.875</v>
      </c>
      <c r="I48" s="7">
        <f t="shared" si="6"/>
        <v>47</v>
      </c>
      <c r="J48" s="7">
        <f t="shared" si="7"/>
        <v>42.300000000000004</v>
      </c>
      <c r="K48" s="7">
        <f t="shared" si="8"/>
        <v>38.454545454545453</v>
      </c>
      <c r="L48" s="7">
        <f t="shared" si="9"/>
        <v>35.25</v>
      </c>
      <c r="M48" s="7">
        <f t="shared" si="10"/>
        <v>32.53846153846154</v>
      </c>
      <c r="N48" s="7">
        <f t="shared" si="11"/>
        <v>30.214285714285715</v>
      </c>
      <c r="O48" s="7">
        <f t="shared" si="12"/>
        <v>28.2</v>
      </c>
      <c r="P48" s="7">
        <f t="shared" si="13"/>
        <v>26.4375</v>
      </c>
    </row>
    <row r="49" spans="2:16" ht="12" customHeight="1" x14ac:dyDescent="0.2">
      <c r="B49" s="1">
        <v>48</v>
      </c>
      <c r="C49" s="7">
        <f t="shared" si="0"/>
        <v>144</v>
      </c>
      <c r="D49" s="7">
        <f t="shared" si="1"/>
        <v>108</v>
      </c>
      <c r="E49" s="7">
        <f t="shared" si="2"/>
        <v>86.399999999999991</v>
      </c>
      <c r="F49" s="7">
        <f t="shared" si="3"/>
        <v>72</v>
      </c>
      <c r="G49" s="7">
        <f t="shared" si="4"/>
        <v>61.714285714285708</v>
      </c>
      <c r="H49" s="7">
        <f t="shared" si="5"/>
        <v>54</v>
      </c>
      <c r="I49" s="7">
        <f t="shared" si="6"/>
        <v>48</v>
      </c>
      <c r="J49" s="7">
        <f t="shared" si="7"/>
        <v>43.199999999999996</v>
      </c>
      <c r="K49" s="7">
        <f t="shared" si="8"/>
        <v>39.272727272727266</v>
      </c>
      <c r="L49" s="7">
        <f t="shared" si="9"/>
        <v>36</v>
      </c>
      <c r="M49" s="7">
        <f t="shared" si="10"/>
        <v>33.230769230769234</v>
      </c>
      <c r="N49" s="7">
        <f t="shared" si="11"/>
        <v>30.857142857142854</v>
      </c>
      <c r="O49" s="7">
        <f t="shared" si="12"/>
        <v>28.8</v>
      </c>
      <c r="P49" s="7">
        <f t="shared" si="13"/>
        <v>27</v>
      </c>
    </row>
    <row r="50" spans="2:16" ht="12" customHeight="1" x14ac:dyDescent="0.2">
      <c r="B50" s="6">
        <v>49</v>
      </c>
      <c r="C50" s="7">
        <f t="shared" si="0"/>
        <v>147</v>
      </c>
      <c r="D50" s="7">
        <f t="shared" si="1"/>
        <v>110.25</v>
      </c>
      <c r="E50" s="7">
        <f t="shared" si="2"/>
        <v>88.2</v>
      </c>
      <c r="F50" s="7">
        <f t="shared" si="3"/>
        <v>73.5</v>
      </c>
      <c r="G50" s="7">
        <f t="shared" si="4"/>
        <v>63</v>
      </c>
      <c r="H50" s="7">
        <f t="shared" si="5"/>
        <v>55.125</v>
      </c>
      <c r="I50" s="7">
        <f t="shared" si="6"/>
        <v>49</v>
      </c>
      <c r="J50" s="7">
        <f t="shared" si="7"/>
        <v>44.1</v>
      </c>
      <c r="K50" s="7">
        <f t="shared" si="8"/>
        <v>40.090909090909086</v>
      </c>
      <c r="L50" s="7">
        <f t="shared" si="9"/>
        <v>36.75</v>
      </c>
      <c r="M50" s="7">
        <f t="shared" si="10"/>
        <v>33.92307692307692</v>
      </c>
      <c r="N50" s="7">
        <f t="shared" si="11"/>
        <v>31.5</v>
      </c>
      <c r="O50" s="7">
        <f t="shared" si="12"/>
        <v>29.4</v>
      </c>
      <c r="P50" s="7">
        <f t="shared" si="13"/>
        <v>27.5625</v>
      </c>
    </row>
    <row r="51" spans="2:16" ht="12" customHeight="1" x14ac:dyDescent="0.2">
      <c r="B51" s="5">
        <v>50</v>
      </c>
      <c r="C51" s="7">
        <f t="shared" si="0"/>
        <v>150</v>
      </c>
      <c r="D51" s="7">
        <f t="shared" si="1"/>
        <v>112.5</v>
      </c>
      <c r="E51" s="7">
        <f t="shared" si="2"/>
        <v>90</v>
      </c>
      <c r="F51" s="7">
        <f t="shared" si="3"/>
        <v>75</v>
      </c>
      <c r="G51" s="7">
        <f t="shared" si="4"/>
        <v>64.285714285714292</v>
      </c>
      <c r="H51" s="7">
        <f t="shared" si="5"/>
        <v>56.25</v>
      </c>
      <c r="I51" s="7">
        <f t="shared" si="6"/>
        <v>50</v>
      </c>
      <c r="J51" s="7">
        <f t="shared" si="7"/>
        <v>45</v>
      </c>
      <c r="K51" s="7">
        <f t="shared" si="8"/>
        <v>40.909090909090914</v>
      </c>
      <c r="L51" s="7">
        <f t="shared" si="9"/>
        <v>37.5</v>
      </c>
      <c r="M51" s="7">
        <f t="shared" si="10"/>
        <v>34.615384615384613</v>
      </c>
      <c r="N51" s="7">
        <f t="shared" si="11"/>
        <v>32.142857142857146</v>
      </c>
      <c r="O51" s="7">
        <f t="shared" si="12"/>
        <v>30</v>
      </c>
      <c r="P51" s="7">
        <f t="shared" si="13"/>
        <v>28.125</v>
      </c>
    </row>
    <row r="52" spans="2:16" ht="12" customHeight="1" x14ac:dyDescent="0.2">
      <c r="B52" s="6">
        <v>51</v>
      </c>
      <c r="C52" s="7">
        <f t="shared" si="0"/>
        <v>153</v>
      </c>
      <c r="D52" s="7">
        <f t="shared" si="1"/>
        <v>114.75</v>
      </c>
      <c r="E52" s="7">
        <f t="shared" si="2"/>
        <v>91.8</v>
      </c>
      <c r="F52" s="7">
        <f t="shared" si="3"/>
        <v>76.5</v>
      </c>
      <c r="G52" s="7">
        <f t="shared" si="4"/>
        <v>65.571428571428569</v>
      </c>
      <c r="H52" s="7">
        <f t="shared" si="5"/>
        <v>57.375</v>
      </c>
      <c r="I52" s="7">
        <f t="shared" si="6"/>
        <v>51</v>
      </c>
      <c r="J52" s="7">
        <f t="shared" si="7"/>
        <v>45.9</v>
      </c>
      <c r="K52" s="7">
        <f t="shared" si="8"/>
        <v>41.727272727272734</v>
      </c>
      <c r="L52" s="7">
        <f t="shared" si="9"/>
        <v>38.25</v>
      </c>
      <c r="M52" s="7">
        <f t="shared" si="10"/>
        <v>35.307692307692307</v>
      </c>
      <c r="N52" s="7">
        <f t="shared" si="11"/>
        <v>32.785714285714285</v>
      </c>
      <c r="O52" s="7">
        <f t="shared" si="12"/>
        <v>30.599999999999998</v>
      </c>
      <c r="P52" s="7">
        <f t="shared" si="13"/>
        <v>28.6875</v>
      </c>
    </row>
    <row r="53" spans="2:16" ht="12" customHeight="1" x14ac:dyDescent="0.2">
      <c r="B53" s="1">
        <v>52</v>
      </c>
      <c r="C53" s="7">
        <f t="shared" si="0"/>
        <v>156</v>
      </c>
      <c r="D53" s="7">
        <f t="shared" si="1"/>
        <v>117</v>
      </c>
      <c r="E53" s="7">
        <f t="shared" si="2"/>
        <v>93.600000000000009</v>
      </c>
      <c r="F53" s="7">
        <f t="shared" si="3"/>
        <v>78</v>
      </c>
      <c r="G53" s="7">
        <f t="shared" si="4"/>
        <v>66.857142857142861</v>
      </c>
      <c r="H53" s="7">
        <f t="shared" si="5"/>
        <v>58.5</v>
      </c>
      <c r="I53" s="7">
        <f t="shared" si="6"/>
        <v>52</v>
      </c>
      <c r="J53" s="7">
        <f t="shared" si="7"/>
        <v>46.800000000000004</v>
      </c>
      <c r="K53" s="7">
        <f t="shared" si="8"/>
        <v>42.545454545454547</v>
      </c>
      <c r="L53" s="7">
        <f t="shared" si="9"/>
        <v>39</v>
      </c>
      <c r="M53" s="7">
        <f t="shared" si="10"/>
        <v>36</v>
      </c>
      <c r="N53" s="7">
        <f t="shared" si="11"/>
        <v>33.428571428571431</v>
      </c>
      <c r="O53" s="7">
        <f t="shared" si="12"/>
        <v>31.200000000000003</v>
      </c>
      <c r="P53" s="7">
        <f t="shared" si="13"/>
        <v>29.25</v>
      </c>
    </row>
    <row r="54" spans="2:16" ht="12" customHeight="1" x14ac:dyDescent="0.2">
      <c r="B54" s="6">
        <v>53</v>
      </c>
      <c r="C54" s="7">
        <f t="shared" si="0"/>
        <v>159</v>
      </c>
      <c r="D54" s="7">
        <f t="shared" si="1"/>
        <v>119.25</v>
      </c>
      <c r="E54" s="7">
        <f t="shared" si="2"/>
        <v>95.399999999999991</v>
      </c>
      <c r="F54" s="7">
        <f t="shared" si="3"/>
        <v>79.5</v>
      </c>
      <c r="G54" s="7">
        <f t="shared" si="4"/>
        <v>68.142857142857139</v>
      </c>
      <c r="H54" s="7">
        <f t="shared" si="5"/>
        <v>59.625</v>
      </c>
      <c r="I54" s="7">
        <f t="shared" si="6"/>
        <v>53</v>
      </c>
      <c r="J54" s="7">
        <f t="shared" si="7"/>
        <v>47.699999999999996</v>
      </c>
      <c r="K54" s="7">
        <f t="shared" si="8"/>
        <v>43.363636363636367</v>
      </c>
      <c r="L54" s="7">
        <f t="shared" si="9"/>
        <v>39.75</v>
      </c>
      <c r="M54" s="7">
        <f t="shared" si="10"/>
        <v>36.692307692307693</v>
      </c>
      <c r="N54" s="7">
        <f t="shared" si="11"/>
        <v>34.071428571428569</v>
      </c>
      <c r="O54" s="7">
        <f t="shared" si="12"/>
        <v>31.799999999999997</v>
      </c>
      <c r="P54" s="7">
        <f t="shared" si="13"/>
        <v>29.8125</v>
      </c>
    </row>
    <row r="55" spans="2:16" ht="12" customHeight="1" x14ac:dyDescent="0.2">
      <c r="B55" s="1">
        <v>54</v>
      </c>
      <c r="C55" s="7">
        <f t="shared" si="0"/>
        <v>162</v>
      </c>
      <c r="D55" s="7">
        <f t="shared" si="1"/>
        <v>121.5</v>
      </c>
      <c r="E55" s="7">
        <f t="shared" si="2"/>
        <v>97.2</v>
      </c>
      <c r="F55" s="7">
        <f t="shared" si="3"/>
        <v>81</v>
      </c>
      <c r="G55" s="7">
        <f t="shared" si="4"/>
        <v>69.428571428571431</v>
      </c>
      <c r="H55" s="7">
        <f t="shared" si="5"/>
        <v>60.75</v>
      </c>
      <c r="I55" s="7">
        <f t="shared" si="6"/>
        <v>54</v>
      </c>
      <c r="J55" s="7">
        <f t="shared" si="7"/>
        <v>48.6</v>
      </c>
      <c r="K55" s="7">
        <f t="shared" si="8"/>
        <v>44.18181818181818</v>
      </c>
      <c r="L55" s="7">
        <f t="shared" si="9"/>
        <v>40.5</v>
      </c>
      <c r="M55" s="7">
        <f t="shared" si="10"/>
        <v>37.384615384615387</v>
      </c>
      <c r="N55" s="7">
        <f t="shared" si="11"/>
        <v>34.714285714285715</v>
      </c>
      <c r="O55" s="7">
        <f t="shared" si="12"/>
        <v>32.4</v>
      </c>
      <c r="P55" s="7">
        <f t="shared" si="13"/>
        <v>30.375</v>
      </c>
    </row>
    <row r="56" spans="2:16" ht="12" customHeight="1" x14ac:dyDescent="0.2">
      <c r="B56" s="6">
        <v>55</v>
      </c>
      <c r="C56" s="7">
        <f t="shared" si="0"/>
        <v>165</v>
      </c>
      <c r="D56" s="7">
        <f t="shared" si="1"/>
        <v>123.75</v>
      </c>
      <c r="E56" s="7">
        <f t="shared" si="2"/>
        <v>99</v>
      </c>
      <c r="F56" s="7">
        <f t="shared" si="3"/>
        <v>82.5</v>
      </c>
      <c r="G56" s="7">
        <f t="shared" si="4"/>
        <v>70.714285714285708</v>
      </c>
      <c r="H56" s="7">
        <f t="shared" si="5"/>
        <v>61.875</v>
      </c>
      <c r="I56" s="7">
        <f t="shared" si="6"/>
        <v>55</v>
      </c>
      <c r="J56" s="7">
        <f t="shared" si="7"/>
        <v>49.5</v>
      </c>
      <c r="K56" s="7">
        <f t="shared" si="8"/>
        <v>45</v>
      </c>
      <c r="L56" s="7">
        <f t="shared" si="9"/>
        <v>41.25</v>
      </c>
      <c r="M56" s="7">
        <f t="shared" si="10"/>
        <v>38.07692307692308</v>
      </c>
      <c r="N56" s="7">
        <f t="shared" si="11"/>
        <v>35.357142857142854</v>
      </c>
      <c r="O56" s="7">
        <f t="shared" si="12"/>
        <v>33</v>
      </c>
      <c r="P56" s="7">
        <f t="shared" si="13"/>
        <v>30.9375</v>
      </c>
    </row>
  </sheetData>
  <sheetProtection algorithmName="SHA-512" hashValue="RYr3KHsZNkfvW4MquGQ4EUrX3zBrFAd3oWo2hXIWbd0kAJBZlOGWTDCHzzmHW7KwuRxzmKRZyd5rJZ7ZOufUDA==" saltValue="+4H00o+T5BfZzYhuBtEu0g==" spinCount="100000" sheet="1" objects="1" scenarios="1" selectLockedCells="1" selectUnlockedCells="1"/>
  <mergeCells count="19">
    <mergeCell ref="C7:G7"/>
    <mergeCell ref="C9:P9"/>
    <mergeCell ref="C8:G8"/>
    <mergeCell ref="C5:G5"/>
    <mergeCell ref="L5:P5"/>
    <mergeCell ref="L6:P6"/>
    <mergeCell ref="L7:P7"/>
    <mergeCell ref="H7:J7"/>
    <mergeCell ref="H8:J8"/>
    <mergeCell ref="L8:P8"/>
    <mergeCell ref="H4:J4"/>
    <mergeCell ref="H5:J5"/>
    <mergeCell ref="H6:J6"/>
    <mergeCell ref="C1:P1"/>
    <mergeCell ref="C6:G6"/>
    <mergeCell ref="H2:K2"/>
    <mergeCell ref="D2:G2"/>
    <mergeCell ref="L2:O2"/>
    <mergeCell ref="H3:J3"/>
  </mergeCells>
  <phoneticPr fontId="0" type="noConversion"/>
  <conditionalFormatting sqref="C11:P56">
    <cfRule type="expression" dxfId="69" priority="1" stopIfTrue="1">
      <formula>AND(C11&gt;=30,C11&lt;40)</formula>
    </cfRule>
    <cfRule type="expression" dxfId="68" priority="2" stopIfTrue="1">
      <formula>AND(C11&gt;=20,C11&lt;30)</formula>
    </cfRule>
    <cfRule type="expression" dxfId="67" priority="3" stopIfTrue="1">
      <formula>AND(C11&gt;=0,C11&lt;20)</formula>
    </cfRule>
  </conditionalFormatting>
  <pageMargins left="0.7" right="0.7" top="0.75" bottom="0.75" header="0.3" footer="0.3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B1:O35"/>
  <sheetViews>
    <sheetView workbookViewId="0">
      <selection sqref="A1:XFD1048576"/>
    </sheetView>
  </sheetViews>
  <sheetFormatPr defaultRowHeight="12.75" customHeight="1" x14ac:dyDescent="0.2"/>
  <cols>
    <col min="2" max="15" width="6.5703125" customWidth="1"/>
  </cols>
  <sheetData>
    <row r="1" spans="2:15" ht="18" customHeight="1" x14ac:dyDescent="0.25">
      <c r="B1" s="67" t="s">
        <v>46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2:15" ht="13.5" customHeight="1" x14ac:dyDescent="0.2">
      <c r="B2" s="49"/>
      <c r="C2" s="111" t="s">
        <v>21</v>
      </c>
      <c r="D2" s="111"/>
      <c r="E2" s="111"/>
      <c r="F2" s="112"/>
      <c r="G2" s="113" t="s">
        <v>45</v>
      </c>
      <c r="H2" s="114"/>
      <c r="I2" s="115"/>
      <c r="J2" s="40">
        <v>1.575</v>
      </c>
      <c r="K2" s="112" t="s">
        <v>23</v>
      </c>
      <c r="L2" s="112"/>
      <c r="M2" s="112"/>
      <c r="N2" s="112"/>
      <c r="O2" s="50"/>
    </row>
    <row r="3" spans="2:15" ht="13.5" customHeight="1" x14ac:dyDescent="0.2">
      <c r="B3" s="51"/>
      <c r="C3" s="14" t="s">
        <v>16</v>
      </c>
      <c r="D3" s="9" t="s">
        <v>17</v>
      </c>
      <c r="E3" s="15" t="s">
        <v>18</v>
      </c>
      <c r="F3" s="16" t="s">
        <v>19</v>
      </c>
      <c r="G3" s="116" t="s">
        <v>24</v>
      </c>
      <c r="H3" s="116"/>
      <c r="I3" s="116"/>
      <c r="J3" s="116"/>
      <c r="K3" s="14" t="s">
        <v>16</v>
      </c>
      <c r="L3" s="9" t="s">
        <v>17</v>
      </c>
      <c r="M3" s="15" t="s">
        <v>18</v>
      </c>
      <c r="N3" s="16" t="s">
        <v>19</v>
      </c>
      <c r="O3" s="52"/>
    </row>
    <row r="4" spans="2:15" ht="12.75" customHeight="1" x14ac:dyDescent="0.2">
      <c r="B4" s="51"/>
      <c r="C4" s="14" t="s">
        <v>25</v>
      </c>
      <c r="D4" s="17" t="s">
        <v>26</v>
      </c>
      <c r="E4" s="15" t="s">
        <v>27</v>
      </c>
      <c r="F4" s="18" t="s">
        <v>48</v>
      </c>
      <c r="G4" s="105" t="s">
        <v>28</v>
      </c>
      <c r="H4" s="105"/>
      <c r="I4" s="105"/>
      <c r="J4" s="2">
        <v>0.25</v>
      </c>
      <c r="K4" s="14" t="s">
        <v>29</v>
      </c>
      <c r="L4" s="17" t="s">
        <v>30</v>
      </c>
      <c r="M4" s="15" t="s">
        <v>31</v>
      </c>
      <c r="N4" s="18" t="s">
        <v>49</v>
      </c>
      <c r="O4" s="52"/>
    </row>
    <row r="5" spans="2:15" ht="12.75" customHeight="1" x14ac:dyDescent="0.2">
      <c r="B5" s="94"/>
      <c r="C5" s="85"/>
      <c r="D5" s="85"/>
      <c r="E5" s="85"/>
      <c r="F5" s="86"/>
      <c r="G5" s="105" t="s">
        <v>32</v>
      </c>
      <c r="H5" s="105"/>
      <c r="I5" s="105"/>
      <c r="J5" s="2">
        <v>0.25</v>
      </c>
      <c r="K5" s="95"/>
      <c r="L5" s="96"/>
      <c r="M5" s="96"/>
      <c r="N5" s="96"/>
      <c r="O5" s="97"/>
    </row>
    <row r="6" spans="2:15" ht="12.75" customHeight="1" x14ac:dyDescent="0.2">
      <c r="B6" s="107" t="s">
        <v>47</v>
      </c>
      <c r="C6" s="108"/>
      <c r="D6" s="108"/>
      <c r="E6" s="108"/>
      <c r="F6" s="109"/>
      <c r="G6" s="104" t="s">
        <v>33</v>
      </c>
      <c r="H6" s="104"/>
      <c r="I6" s="104"/>
      <c r="J6" s="2">
        <v>0.25</v>
      </c>
      <c r="K6" s="98" t="s">
        <v>34</v>
      </c>
      <c r="L6" s="99"/>
      <c r="M6" s="99"/>
      <c r="N6" s="99"/>
      <c r="O6" s="100"/>
    </row>
    <row r="7" spans="2:15" ht="12.75" customHeight="1" x14ac:dyDescent="0.2">
      <c r="B7" s="110" t="s">
        <v>38</v>
      </c>
      <c r="C7" s="102"/>
      <c r="D7" s="102"/>
      <c r="E7" s="102"/>
      <c r="F7" s="103"/>
      <c r="G7" s="106" t="s">
        <v>41</v>
      </c>
      <c r="H7" s="106"/>
      <c r="I7" s="106"/>
      <c r="J7" s="19">
        <v>0.75</v>
      </c>
      <c r="K7" s="101" t="s">
        <v>37</v>
      </c>
      <c r="L7" s="102"/>
      <c r="M7" s="102"/>
      <c r="N7" s="102"/>
      <c r="O7" s="103"/>
    </row>
    <row r="8" spans="2:15" ht="12.75" customHeight="1" x14ac:dyDescent="0.2">
      <c r="B8" s="91" t="s">
        <v>43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3"/>
    </row>
    <row r="9" spans="2:15" ht="12.75" customHeight="1" x14ac:dyDescent="0.2">
      <c r="B9" s="3" t="s">
        <v>44</v>
      </c>
      <c r="C9" s="3">
        <v>0.5</v>
      </c>
      <c r="D9" s="3">
        <v>0.625</v>
      </c>
      <c r="E9" s="3">
        <v>0.75</v>
      </c>
      <c r="F9" s="3">
        <v>0.875</v>
      </c>
      <c r="G9" s="3">
        <v>1</v>
      </c>
      <c r="H9" s="3">
        <v>1.125</v>
      </c>
      <c r="I9" s="3">
        <v>1.25</v>
      </c>
      <c r="J9" s="3">
        <v>1.375</v>
      </c>
      <c r="K9" s="3">
        <v>1.5</v>
      </c>
      <c r="L9" s="3">
        <v>1.625</v>
      </c>
      <c r="M9" s="3">
        <v>1.75</v>
      </c>
      <c r="N9" s="3">
        <v>1.875</v>
      </c>
      <c r="O9" s="3">
        <v>2</v>
      </c>
    </row>
    <row r="10" spans="2:15" ht="12.75" customHeight="1" x14ac:dyDescent="0.2">
      <c r="B10" s="5">
        <v>10</v>
      </c>
      <c r="C10" s="7">
        <f t="shared" ref="C10:O19" si="0">($B10/C$9)*$J$2</f>
        <v>31.5</v>
      </c>
      <c r="D10" s="7">
        <f t="shared" si="0"/>
        <v>25.2</v>
      </c>
      <c r="E10" s="7">
        <f t="shared" si="0"/>
        <v>21</v>
      </c>
      <c r="F10" s="7">
        <f t="shared" si="0"/>
        <v>18</v>
      </c>
      <c r="G10" s="7">
        <f t="shared" si="0"/>
        <v>15.75</v>
      </c>
      <c r="H10" s="7">
        <f t="shared" si="0"/>
        <v>14</v>
      </c>
      <c r="I10" s="7">
        <f t="shared" si="0"/>
        <v>12.6</v>
      </c>
      <c r="J10" s="7">
        <f t="shared" si="0"/>
        <v>11.454545454545453</v>
      </c>
      <c r="K10" s="7">
        <f t="shared" si="0"/>
        <v>10.5</v>
      </c>
      <c r="L10" s="7">
        <f t="shared" si="0"/>
        <v>9.6923076923076934</v>
      </c>
      <c r="M10" s="7">
        <f t="shared" si="0"/>
        <v>9</v>
      </c>
      <c r="N10" s="7">
        <f t="shared" si="0"/>
        <v>8.3999999999999986</v>
      </c>
      <c r="O10" s="7">
        <f t="shared" si="0"/>
        <v>7.875</v>
      </c>
    </row>
    <row r="11" spans="2:15" ht="12.75" customHeight="1" x14ac:dyDescent="0.2">
      <c r="B11" s="6">
        <v>11</v>
      </c>
      <c r="C11" s="7">
        <f t="shared" si="0"/>
        <v>34.65</v>
      </c>
      <c r="D11" s="7">
        <f t="shared" si="0"/>
        <v>27.720000000000002</v>
      </c>
      <c r="E11" s="7">
        <f t="shared" si="0"/>
        <v>23.099999999999998</v>
      </c>
      <c r="F11" s="7">
        <f t="shared" si="0"/>
        <v>19.8</v>
      </c>
      <c r="G11" s="7">
        <f t="shared" si="0"/>
        <v>17.324999999999999</v>
      </c>
      <c r="H11" s="7">
        <f t="shared" si="0"/>
        <v>15.4</v>
      </c>
      <c r="I11" s="7">
        <f t="shared" si="0"/>
        <v>13.860000000000001</v>
      </c>
      <c r="J11" s="7">
        <f t="shared" si="0"/>
        <v>12.6</v>
      </c>
      <c r="K11" s="7">
        <f t="shared" si="0"/>
        <v>11.549999999999999</v>
      </c>
      <c r="L11" s="7">
        <f t="shared" si="0"/>
        <v>10.661538461538461</v>
      </c>
      <c r="M11" s="7">
        <f t="shared" si="0"/>
        <v>9.9</v>
      </c>
      <c r="N11" s="7">
        <f t="shared" si="0"/>
        <v>9.2399999999999984</v>
      </c>
      <c r="O11" s="7">
        <f t="shared" si="0"/>
        <v>8.6624999999999996</v>
      </c>
    </row>
    <row r="12" spans="2:15" ht="12.75" customHeight="1" x14ac:dyDescent="0.2">
      <c r="B12" s="1">
        <v>12</v>
      </c>
      <c r="C12" s="7">
        <f t="shared" si="0"/>
        <v>37.799999999999997</v>
      </c>
      <c r="D12" s="7">
        <f t="shared" si="0"/>
        <v>30.24</v>
      </c>
      <c r="E12" s="7">
        <f t="shared" si="0"/>
        <v>25.2</v>
      </c>
      <c r="F12" s="7">
        <f t="shared" si="0"/>
        <v>21.599999999999998</v>
      </c>
      <c r="G12" s="7">
        <f t="shared" si="0"/>
        <v>18.899999999999999</v>
      </c>
      <c r="H12" s="7">
        <f t="shared" si="0"/>
        <v>16.799999999999997</v>
      </c>
      <c r="I12" s="7">
        <f t="shared" si="0"/>
        <v>15.12</v>
      </c>
      <c r="J12" s="7">
        <f t="shared" si="0"/>
        <v>13.745454545454544</v>
      </c>
      <c r="K12" s="7">
        <f t="shared" si="0"/>
        <v>12.6</v>
      </c>
      <c r="L12" s="7">
        <f t="shared" si="0"/>
        <v>11.63076923076923</v>
      </c>
      <c r="M12" s="7">
        <f t="shared" si="0"/>
        <v>10.799999999999999</v>
      </c>
      <c r="N12" s="7">
        <f t="shared" si="0"/>
        <v>10.08</v>
      </c>
      <c r="O12" s="7">
        <f t="shared" si="0"/>
        <v>9.4499999999999993</v>
      </c>
    </row>
    <row r="13" spans="2:15" ht="12.75" customHeight="1" x14ac:dyDescent="0.2">
      <c r="B13" s="6">
        <v>13</v>
      </c>
      <c r="C13" s="7">
        <f t="shared" si="0"/>
        <v>40.949999999999996</v>
      </c>
      <c r="D13" s="7">
        <f t="shared" si="0"/>
        <v>32.76</v>
      </c>
      <c r="E13" s="7">
        <f t="shared" si="0"/>
        <v>27.299999999999997</v>
      </c>
      <c r="F13" s="7">
        <f t="shared" si="0"/>
        <v>23.4</v>
      </c>
      <c r="G13" s="7">
        <f t="shared" si="0"/>
        <v>20.474999999999998</v>
      </c>
      <c r="H13" s="7">
        <f t="shared" si="0"/>
        <v>18.2</v>
      </c>
      <c r="I13" s="7">
        <f t="shared" si="0"/>
        <v>16.38</v>
      </c>
      <c r="J13" s="7">
        <f t="shared" si="0"/>
        <v>14.890909090909091</v>
      </c>
      <c r="K13" s="7">
        <f t="shared" si="0"/>
        <v>13.649999999999999</v>
      </c>
      <c r="L13" s="7">
        <f t="shared" si="0"/>
        <v>12.6</v>
      </c>
      <c r="M13" s="7">
        <f t="shared" si="0"/>
        <v>11.7</v>
      </c>
      <c r="N13" s="7">
        <f t="shared" si="0"/>
        <v>10.92</v>
      </c>
      <c r="O13" s="7">
        <f t="shared" si="0"/>
        <v>10.237499999999999</v>
      </c>
    </row>
    <row r="14" spans="2:15" ht="12.75" customHeight="1" x14ac:dyDescent="0.2">
      <c r="B14" s="1">
        <v>14</v>
      </c>
      <c r="C14" s="7">
        <f t="shared" si="0"/>
        <v>44.1</v>
      </c>
      <c r="D14" s="7">
        <f t="shared" si="0"/>
        <v>35.279999999999994</v>
      </c>
      <c r="E14" s="7">
        <f t="shared" si="0"/>
        <v>29.400000000000002</v>
      </c>
      <c r="F14" s="7">
        <f t="shared" si="0"/>
        <v>25.2</v>
      </c>
      <c r="G14" s="7">
        <f t="shared" si="0"/>
        <v>22.05</v>
      </c>
      <c r="H14" s="7">
        <f t="shared" si="0"/>
        <v>19.600000000000001</v>
      </c>
      <c r="I14" s="7">
        <f t="shared" si="0"/>
        <v>17.639999999999997</v>
      </c>
      <c r="J14" s="7">
        <f t="shared" si="0"/>
        <v>16.036363636363635</v>
      </c>
      <c r="K14" s="7">
        <f t="shared" si="0"/>
        <v>14.700000000000001</v>
      </c>
      <c r="L14" s="7">
        <f t="shared" si="0"/>
        <v>13.569230769230769</v>
      </c>
      <c r="M14" s="7">
        <f t="shared" si="0"/>
        <v>12.6</v>
      </c>
      <c r="N14" s="7">
        <f t="shared" si="0"/>
        <v>11.76</v>
      </c>
      <c r="O14" s="7">
        <f t="shared" si="0"/>
        <v>11.025</v>
      </c>
    </row>
    <row r="15" spans="2:15" ht="12.75" customHeight="1" x14ac:dyDescent="0.2">
      <c r="B15" s="6">
        <v>15</v>
      </c>
      <c r="C15" s="7">
        <f t="shared" si="0"/>
        <v>47.25</v>
      </c>
      <c r="D15" s="7">
        <f t="shared" si="0"/>
        <v>37.799999999999997</v>
      </c>
      <c r="E15" s="7">
        <f t="shared" si="0"/>
        <v>31.5</v>
      </c>
      <c r="F15" s="7">
        <f t="shared" si="0"/>
        <v>27</v>
      </c>
      <c r="G15" s="7">
        <f t="shared" si="0"/>
        <v>23.625</v>
      </c>
      <c r="H15" s="7">
        <f t="shared" si="0"/>
        <v>21</v>
      </c>
      <c r="I15" s="7">
        <f t="shared" si="0"/>
        <v>18.899999999999999</v>
      </c>
      <c r="J15" s="7">
        <f t="shared" si="0"/>
        <v>17.18181818181818</v>
      </c>
      <c r="K15" s="7">
        <f t="shared" si="0"/>
        <v>15.75</v>
      </c>
      <c r="L15" s="7">
        <f t="shared" si="0"/>
        <v>14.538461538461537</v>
      </c>
      <c r="M15" s="7">
        <f t="shared" si="0"/>
        <v>13.5</v>
      </c>
      <c r="N15" s="7">
        <f t="shared" si="0"/>
        <v>12.6</v>
      </c>
      <c r="O15" s="7">
        <f t="shared" si="0"/>
        <v>11.8125</v>
      </c>
    </row>
    <row r="16" spans="2:15" ht="12.75" customHeight="1" x14ac:dyDescent="0.2">
      <c r="B16" s="1">
        <v>16</v>
      </c>
      <c r="C16" s="7">
        <f t="shared" si="0"/>
        <v>50.4</v>
      </c>
      <c r="D16" s="7">
        <f t="shared" si="0"/>
        <v>40.32</v>
      </c>
      <c r="E16" s="7">
        <f t="shared" si="0"/>
        <v>33.599999999999994</v>
      </c>
      <c r="F16" s="7">
        <f t="shared" si="0"/>
        <v>28.799999999999997</v>
      </c>
      <c r="G16" s="7">
        <f t="shared" si="0"/>
        <v>25.2</v>
      </c>
      <c r="H16" s="7">
        <f t="shared" si="0"/>
        <v>22.4</v>
      </c>
      <c r="I16" s="7">
        <f t="shared" si="0"/>
        <v>20.16</v>
      </c>
      <c r="J16" s="7">
        <f t="shared" si="0"/>
        <v>18.327272727272728</v>
      </c>
      <c r="K16" s="7">
        <f t="shared" si="0"/>
        <v>16.799999999999997</v>
      </c>
      <c r="L16" s="7">
        <f t="shared" si="0"/>
        <v>15.507692307692308</v>
      </c>
      <c r="M16" s="7">
        <f t="shared" si="0"/>
        <v>14.399999999999999</v>
      </c>
      <c r="N16" s="7">
        <f t="shared" si="0"/>
        <v>13.44</v>
      </c>
      <c r="O16" s="7">
        <f t="shared" si="0"/>
        <v>12.6</v>
      </c>
    </row>
    <row r="17" spans="2:15" ht="12.75" customHeight="1" x14ac:dyDescent="0.2">
      <c r="B17" s="6">
        <v>17</v>
      </c>
      <c r="C17" s="7">
        <f t="shared" si="0"/>
        <v>53.55</v>
      </c>
      <c r="D17" s="7">
        <f t="shared" si="0"/>
        <v>42.839999999999996</v>
      </c>
      <c r="E17" s="7">
        <f t="shared" si="0"/>
        <v>35.700000000000003</v>
      </c>
      <c r="F17" s="7">
        <f t="shared" si="0"/>
        <v>30.599999999999998</v>
      </c>
      <c r="G17" s="7">
        <f t="shared" si="0"/>
        <v>26.774999999999999</v>
      </c>
      <c r="H17" s="7">
        <f t="shared" si="0"/>
        <v>23.799999999999997</v>
      </c>
      <c r="I17" s="7">
        <f t="shared" si="0"/>
        <v>21.419999999999998</v>
      </c>
      <c r="J17" s="7">
        <f t="shared" si="0"/>
        <v>19.472727272727273</v>
      </c>
      <c r="K17" s="7">
        <f t="shared" si="0"/>
        <v>17.850000000000001</v>
      </c>
      <c r="L17" s="7">
        <f t="shared" si="0"/>
        <v>16.476923076923075</v>
      </c>
      <c r="M17" s="7">
        <f t="shared" si="0"/>
        <v>15.299999999999999</v>
      </c>
      <c r="N17" s="7">
        <f t="shared" si="0"/>
        <v>14.28</v>
      </c>
      <c r="O17" s="7">
        <f t="shared" si="0"/>
        <v>13.387499999999999</v>
      </c>
    </row>
    <row r="18" spans="2:15" ht="12.75" customHeight="1" x14ac:dyDescent="0.2">
      <c r="B18" s="1">
        <v>18</v>
      </c>
      <c r="C18" s="7">
        <f t="shared" si="0"/>
        <v>56.699999999999996</v>
      </c>
      <c r="D18" s="7">
        <f t="shared" si="0"/>
        <v>45.36</v>
      </c>
      <c r="E18" s="7">
        <f t="shared" si="0"/>
        <v>37.799999999999997</v>
      </c>
      <c r="F18" s="7">
        <f t="shared" si="0"/>
        <v>32.4</v>
      </c>
      <c r="G18" s="7">
        <f t="shared" si="0"/>
        <v>28.349999999999998</v>
      </c>
      <c r="H18" s="7">
        <f t="shared" si="0"/>
        <v>25.2</v>
      </c>
      <c r="I18" s="7">
        <f t="shared" si="0"/>
        <v>22.68</v>
      </c>
      <c r="J18" s="7">
        <f t="shared" si="0"/>
        <v>20.618181818181817</v>
      </c>
      <c r="K18" s="7">
        <f t="shared" si="0"/>
        <v>18.899999999999999</v>
      </c>
      <c r="L18" s="7">
        <f t="shared" si="0"/>
        <v>17.446153846153845</v>
      </c>
      <c r="M18" s="7">
        <f t="shared" si="0"/>
        <v>16.2</v>
      </c>
      <c r="N18" s="7">
        <f t="shared" si="0"/>
        <v>15.12</v>
      </c>
      <c r="O18" s="7">
        <f t="shared" si="0"/>
        <v>14.174999999999999</v>
      </c>
    </row>
    <row r="19" spans="2:15" ht="12.75" customHeight="1" x14ac:dyDescent="0.2">
      <c r="B19" s="6">
        <v>19</v>
      </c>
      <c r="C19" s="7">
        <f t="shared" si="0"/>
        <v>59.85</v>
      </c>
      <c r="D19" s="7">
        <f t="shared" si="0"/>
        <v>47.879999999999995</v>
      </c>
      <c r="E19" s="7">
        <f t="shared" si="0"/>
        <v>39.9</v>
      </c>
      <c r="F19" s="7">
        <f t="shared" si="0"/>
        <v>34.200000000000003</v>
      </c>
      <c r="G19" s="7">
        <f t="shared" si="0"/>
        <v>29.925000000000001</v>
      </c>
      <c r="H19" s="7">
        <f t="shared" si="0"/>
        <v>26.6</v>
      </c>
      <c r="I19" s="7">
        <f t="shared" si="0"/>
        <v>23.939999999999998</v>
      </c>
      <c r="J19" s="7">
        <f t="shared" si="0"/>
        <v>21.763636363636362</v>
      </c>
      <c r="K19" s="7">
        <f t="shared" si="0"/>
        <v>19.95</v>
      </c>
      <c r="L19" s="7">
        <f t="shared" si="0"/>
        <v>18.415384615384614</v>
      </c>
      <c r="M19" s="7">
        <f t="shared" si="0"/>
        <v>17.100000000000001</v>
      </c>
      <c r="N19" s="7">
        <f t="shared" si="0"/>
        <v>15.959999999999999</v>
      </c>
      <c r="O19" s="7">
        <f t="shared" si="0"/>
        <v>14.9625</v>
      </c>
    </row>
    <row r="20" spans="2:15" ht="12.75" customHeight="1" x14ac:dyDescent="0.2">
      <c r="B20" s="5">
        <v>20</v>
      </c>
      <c r="C20" s="7">
        <f t="shared" ref="C20:O29" si="1">($B20/C$9)*$J$2</f>
        <v>63</v>
      </c>
      <c r="D20" s="7">
        <f t="shared" si="1"/>
        <v>50.4</v>
      </c>
      <c r="E20" s="7">
        <f t="shared" si="1"/>
        <v>42</v>
      </c>
      <c r="F20" s="7">
        <f t="shared" si="1"/>
        <v>36</v>
      </c>
      <c r="G20" s="7">
        <f t="shared" si="1"/>
        <v>31.5</v>
      </c>
      <c r="H20" s="7">
        <f t="shared" si="1"/>
        <v>28</v>
      </c>
      <c r="I20" s="7">
        <f t="shared" si="1"/>
        <v>25.2</v>
      </c>
      <c r="J20" s="7">
        <f t="shared" si="1"/>
        <v>22.909090909090907</v>
      </c>
      <c r="K20" s="7">
        <f t="shared" si="1"/>
        <v>21</v>
      </c>
      <c r="L20" s="7">
        <f t="shared" si="1"/>
        <v>19.384615384615387</v>
      </c>
      <c r="M20" s="7">
        <f t="shared" si="1"/>
        <v>18</v>
      </c>
      <c r="N20" s="7">
        <f t="shared" si="1"/>
        <v>16.799999999999997</v>
      </c>
      <c r="O20" s="7">
        <f t="shared" si="1"/>
        <v>15.75</v>
      </c>
    </row>
    <row r="21" spans="2:15" ht="12.75" customHeight="1" x14ac:dyDescent="0.2">
      <c r="B21" s="6">
        <v>21</v>
      </c>
      <c r="C21" s="7">
        <f t="shared" si="1"/>
        <v>66.149999999999991</v>
      </c>
      <c r="D21" s="7">
        <f t="shared" si="1"/>
        <v>52.92</v>
      </c>
      <c r="E21" s="7">
        <f t="shared" si="1"/>
        <v>44.1</v>
      </c>
      <c r="F21" s="7">
        <f t="shared" si="1"/>
        <v>37.799999999999997</v>
      </c>
      <c r="G21" s="7">
        <f t="shared" si="1"/>
        <v>33.074999999999996</v>
      </c>
      <c r="H21" s="7">
        <f t="shared" si="1"/>
        <v>29.400000000000002</v>
      </c>
      <c r="I21" s="7">
        <f t="shared" si="1"/>
        <v>26.46</v>
      </c>
      <c r="J21" s="7">
        <f t="shared" si="1"/>
        <v>24.054545454545455</v>
      </c>
      <c r="K21" s="7">
        <f t="shared" si="1"/>
        <v>22.05</v>
      </c>
      <c r="L21" s="7">
        <f t="shared" si="1"/>
        <v>20.353846153846153</v>
      </c>
      <c r="M21" s="7">
        <f t="shared" si="1"/>
        <v>18.899999999999999</v>
      </c>
      <c r="N21" s="7">
        <f t="shared" si="1"/>
        <v>17.639999999999997</v>
      </c>
      <c r="O21" s="7">
        <f t="shared" si="1"/>
        <v>16.537499999999998</v>
      </c>
    </row>
    <row r="22" spans="2:15" ht="12.75" customHeight="1" x14ac:dyDescent="0.2">
      <c r="B22" s="1">
        <v>22</v>
      </c>
      <c r="C22" s="7">
        <f t="shared" si="1"/>
        <v>69.3</v>
      </c>
      <c r="D22" s="7">
        <f t="shared" si="1"/>
        <v>55.440000000000005</v>
      </c>
      <c r="E22" s="7">
        <f t="shared" si="1"/>
        <v>46.199999999999996</v>
      </c>
      <c r="F22" s="7">
        <f t="shared" si="1"/>
        <v>39.6</v>
      </c>
      <c r="G22" s="7">
        <f t="shared" si="1"/>
        <v>34.65</v>
      </c>
      <c r="H22" s="7">
        <f t="shared" si="1"/>
        <v>30.8</v>
      </c>
      <c r="I22" s="7">
        <f t="shared" si="1"/>
        <v>27.720000000000002</v>
      </c>
      <c r="J22" s="7">
        <f t="shared" si="1"/>
        <v>25.2</v>
      </c>
      <c r="K22" s="7">
        <f t="shared" si="1"/>
        <v>23.099999999999998</v>
      </c>
      <c r="L22" s="7">
        <f t="shared" si="1"/>
        <v>21.323076923076922</v>
      </c>
      <c r="M22" s="7">
        <f t="shared" si="1"/>
        <v>19.8</v>
      </c>
      <c r="N22" s="7">
        <f t="shared" si="1"/>
        <v>18.479999999999997</v>
      </c>
      <c r="O22" s="7">
        <f t="shared" si="1"/>
        <v>17.324999999999999</v>
      </c>
    </row>
    <row r="23" spans="2:15" ht="12.75" customHeight="1" x14ac:dyDescent="0.2">
      <c r="B23" s="6">
        <v>23</v>
      </c>
      <c r="C23" s="7">
        <f t="shared" si="1"/>
        <v>72.45</v>
      </c>
      <c r="D23" s="7">
        <f t="shared" si="1"/>
        <v>57.959999999999994</v>
      </c>
      <c r="E23" s="7">
        <f t="shared" si="1"/>
        <v>48.3</v>
      </c>
      <c r="F23" s="7">
        <f t="shared" si="1"/>
        <v>41.4</v>
      </c>
      <c r="G23" s="7">
        <f t="shared" si="1"/>
        <v>36.225000000000001</v>
      </c>
      <c r="H23" s="7">
        <f t="shared" si="1"/>
        <v>32.199999999999996</v>
      </c>
      <c r="I23" s="7">
        <f t="shared" si="1"/>
        <v>28.979999999999997</v>
      </c>
      <c r="J23" s="7">
        <f t="shared" si="1"/>
        <v>26.345454545454544</v>
      </c>
      <c r="K23" s="7">
        <f t="shared" si="1"/>
        <v>24.15</v>
      </c>
      <c r="L23" s="7">
        <f t="shared" si="1"/>
        <v>22.292307692307691</v>
      </c>
      <c r="M23" s="7">
        <f t="shared" si="1"/>
        <v>20.7</v>
      </c>
      <c r="N23" s="7">
        <f t="shared" si="1"/>
        <v>19.32</v>
      </c>
      <c r="O23" s="7">
        <f t="shared" si="1"/>
        <v>18.112500000000001</v>
      </c>
    </row>
    <row r="24" spans="2:15" ht="12.75" customHeight="1" x14ac:dyDescent="0.2">
      <c r="B24" s="1">
        <v>24</v>
      </c>
      <c r="C24" s="7">
        <f t="shared" si="1"/>
        <v>75.599999999999994</v>
      </c>
      <c r="D24" s="7">
        <f t="shared" si="1"/>
        <v>60.48</v>
      </c>
      <c r="E24" s="7">
        <f t="shared" si="1"/>
        <v>50.4</v>
      </c>
      <c r="F24" s="7">
        <f t="shared" si="1"/>
        <v>43.199999999999996</v>
      </c>
      <c r="G24" s="7">
        <f t="shared" si="1"/>
        <v>37.799999999999997</v>
      </c>
      <c r="H24" s="7">
        <f t="shared" si="1"/>
        <v>33.599999999999994</v>
      </c>
      <c r="I24" s="7">
        <f t="shared" si="1"/>
        <v>30.24</v>
      </c>
      <c r="J24" s="7">
        <f t="shared" si="1"/>
        <v>27.490909090909089</v>
      </c>
      <c r="K24" s="7">
        <f t="shared" si="1"/>
        <v>25.2</v>
      </c>
      <c r="L24" s="7">
        <f t="shared" si="1"/>
        <v>23.261538461538461</v>
      </c>
      <c r="M24" s="7">
        <f t="shared" si="1"/>
        <v>21.599999999999998</v>
      </c>
      <c r="N24" s="7">
        <f t="shared" si="1"/>
        <v>20.16</v>
      </c>
      <c r="O24" s="7">
        <f t="shared" si="1"/>
        <v>18.899999999999999</v>
      </c>
    </row>
    <row r="25" spans="2:15" ht="12.75" customHeight="1" x14ac:dyDescent="0.2">
      <c r="B25" s="6">
        <v>25</v>
      </c>
      <c r="C25" s="7">
        <f t="shared" si="1"/>
        <v>78.75</v>
      </c>
      <c r="D25" s="7">
        <f t="shared" si="1"/>
        <v>63</v>
      </c>
      <c r="E25" s="7">
        <f t="shared" si="1"/>
        <v>52.5</v>
      </c>
      <c r="F25" s="7">
        <f t="shared" si="1"/>
        <v>45</v>
      </c>
      <c r="G25" s="7">
        <f t="shared" si="1"/>
        <v>39.375</v>
      </c>
      <c r="H25" s="7">
        <f t="shared" si="1"/>
        <v>35</v>
      </c>
      <c r="I25" s="7">
        <f t="shared" si="1"/>
        <v>31.5</v>
      </c>
      <c r="J25" s="7">
        <f t="shared" si="1"/>
        <v>28.636363636363637</v>
      </c>
      <c r="K25" s="7">
        <f t="shared" si="1"/>
        <v>26.25</v>
      </c>
      <c r="L25" s="7">
        <f t="shared" si="1"/>
        <v>24.23076923076923</v>
      </c>
      <c r="M25" s="7">
        <f t="shared" si="1"/>
        <v>22.5</v>
      </c>
      <c r="N25" s="7">
        <f t="shared" si="1"/>
        <v>21</v>
      </c>
      <c r="O25" s="7">
        <f t="shared" si="1"/>
        <v>19.6875</v>
      </c>
    </row>
    <row r="26" spans="2:15" ht="12.75" customHeight="1" x14ac:dyDescent="0.2">
      <c r="B26" s="1">
        <v>26</v>
      </c>
      <c r="C26" s="7">
        <f t="shared" si="1"/>
        <v>81.899999999999991</v>
      </c>
      <c r="D26" s="7">
        <f t="shared" si="1"/>
        <v>65.52</v>
      </c>
      <c r="E26" s="7">
        <f t="shared" si="1"/>
        <v>54.599999999999994</v>
      </c>
      <c r="F26" s="7">
        <f t="shared" si="1"/>
        <v>46.8</v>
      </c>
      <c r="G26" s="7">
        <f t="shared" si="1"/>
        <v>40.949999999999996</v>
      </c>
      <c r="H26" s="7">
        <f t="shared" si="1"/>
        <v>36.4</v>
      </c>
      <c r="I26" s="7">
        <f t="shared" si="1"/>
        <v>32.76</v>
      </c>
      <c r="J26" s="7">
        <f t="shared" si="1"/>
        <v>29.781818181818181</v>
      </c>
      <c r="K26" s="7">
        <f t="shared" si="1"/>
        <v>27.299999999999997</v>
      </c>
      <c r="L26" s="7">
        <f t="shared" si="1"/>
        <v>25.2</v>
      </c>
      <c r="M26" s="7">
        <f t="shared" si="1"/>
        <v>23.4</v>
      </c>
      <c r="N26" s="7">
        <f t="shared" si="1"/>
        <v>21.84</v>
      </c>
      <c r="O26" s="7">
        <f t="shared" si="1"/>
        <v>20.474999999999998</v>
      </c>
    </row>
    <row r="27" spans="2:15" ht="12.75" customHeight="1" x14ac:dyDescent="0.2">
      <c r="B27" s="6">
        <v>27</v>
      </c>
      <c r="C27" s="7">
        <f t="shared" si="1"/>
        <v>85.05</v>
      </c>
      <c r="D27" s="7">
        <f t="shared" si="1"/>
        <v>68.040000000000006</v>
      </c>
      <c r="E27" s="7">
        <f t="shared" si="1"/>
        <v>56.699999999999996</v>
      </c>
      <c r="F27" s="7">
        <f t="shared" si="1"/>
        <v>48.6</v>
      </c>
      <c r="G27" s="7">
        <f t="shared" si="1"/>
        <v>42.524999999999999</v>
      </c>
      <c r="H27" s="7">
        <f t="shared" si="1"/>
        <v>37.799999999999997</v>
      </c>
      <c r="I27" s="7">
        <f t="shared" si="1"/>
        <v>34.020000000000003</v>
      </c>
      <c r="J27" s="7">
        <f t="shared" si="1"/>
        <v>30.927272727272726</v>
      </c>
      <c r="K27" s="7">
        <f t="shared" si="1"/>
        <v>28.349999999999998</v>
      </c>
      <c r="L27" s="7">
        <f t="shared" si="1"/>
        <v>26.169230769230772</v>
      </c>
      <c r="M27" s="7">
        <f t="shared" si="1"/>
        <v>24.3</v>
      </c>
      <c r="N27" s="7">
        <f t="shared" si="1"/>
        <v>22.68</v>
      </c>
      <c r="O27" s="7">
        <f t="shared" si="1"/>
        <v>21.262499999999999</v>
      </c>
    </row>
    <row r="28" spans="2:15" ht="12.75" customHeight="1" x14ac:dyDescent="0.2">
      <c r="B28" s="1">
        <v>28</v>
      </c>
      <c r="C28" s="7">
        <f t="shared" si="1"/>
        <v>88.2</v>
      </c>
      <c r="D28" s="7">
        <f t="shared" si="1"/>
        <v>70.559999999999988</v>
      </c>
      <c r="E28" s="7">
        <f t="shared" si="1"/>
        <v>58.800000000000004</v>
      </c>
      <c r="F28" s="7">
        <f t="shared" si="1"/>
        <v>50.4</v>
      </c>
      <c r="G28" s="7">
        <f t="shared" si="1"/>
        <v>44.1</v>
      </c>
      <c r="H28" s="7">
        <f t="shared" si="1"/>
        <v>39.200000000000003</v>
      </c>
      <c r="I28" s="7">
        <f t="shared" si="1"/>
        <v>35.279999999999994</v>
      </c>
      <c r="J28" s="7">
        <f t="shared" si="1"/>
        <v>32.072727272727271</v>
      </c>
      <c r="K28" s="7">
        <f t="shared" si="1"/>
        <v>29.400000000000002</v>
      </c>
      <c r="L28" s="7">
        <f t="shared" si="1"/>
        <v>27.138461538461538</v>
      </c>
      <c r="M28" s="7">
        <f t="shared" si="1"/>
        <v>25.2</v>
      </c>
      <c r="N28" s="7">
        <f t="shared" si="1"/>
        <v>23.52</v>
      </c>
      <c r="O28" s="7">
        <f t="shared" si="1"/>
        <v>22.05</v>
      </c>
    </row>
    <row r="29" spans="2:15" ht="12.75" customHeight="1" x14ac:dyDescent="0.2">
      <c r="B29" s="6">
        <v>29</v>
      </c>
      <c r="C29" s="7">
        <f t="shared" si="1"/>
        <v>91.35</v>
      </c>
      <c r="D29" s="7">
        <f t="shared" si="1"/>
        <v>73.08</v>
      </c>
      <c r="E29" s="7">
        <f t="shared" si="1"/>
        <v>60.899999999999991</v>
      </c>
      <c r="F29" s="7">
        <f t="shared" si="1"/>
        <v>52.2</v>
      </c>
      <c r="G29" s="7">
        <f t="shared" si="1"/>
        <v>45.674999999999997</v>
      </c>
      <c r="H29" s="7">
        <f t="shared" si="1"/>
        <v>40.6</v>
      </c>
      <c r="I29" s="7">
        <f t="shared" si="1"/>
        <v>36.54</v>
      </c>
      <c r="J29" s="7">
        <f t="shared" si="1"/>
        <v>33.218181818181819</v>
      </c>
      <c r="K29" s="7">
        <f t="shared" si="1"/>
        <v>30.449999999999996</v>
      </c>
      <c r="L29" s="7">
        <f t="shared" si="1"/>
        <v>28.107692307692307</v>
      </c>
      <c r="M29" s="7">
        <f t="shared" si="1"/>
        <v>26.1</v>
      </c>
      <c r="N29" s="7">
        <f t="shared" si="1"/>
        <v>24.36</v>
      </c>
      <c r="O29" s="7">
        <f t="shared" si="1"/>
        <v>22.837499999999999</v>
      </c>
    </row>
    <row r="30" spans="2:15" ht="12.75" customHeight="1" x14ac:dyDescent="0.2">
      <c r="B30" s="5">
        <v>30</v>
      </c>
      <c r="C30" s="7">
        <f t="shared" ref="C30:O35" si="2">($B30/C$9)*$J$2</f>
        <v>94.5</v>
      </c>
      <c r="D30" s="7">
        <f t="shared" si="2"/>
        <v>75.599999999999994</v>
      </c>
      <c r="E30" s="7">
        <f t="shared" si="2"/>
        <v>63</v>
      </c>
      <c r="F30" s="7">
        <f t="shared" si="2"/>
        <v>54</v>
      </c>
      <c r="G30" s="7">
        <f t="shared" si="2"/>
        <v>47.25</v>
      </c>
      <c r="H30" s="7">
        <f t="shared" si="2"/>
        <v>42</v>
      </c>
      <c r="I30" s="7">
        <f t="shared" si="2"/>
        <v>37.799999999999997</v>
      </c>
      <c r="J30" s="7">
        <f t="shared" si="2"/>
        <v>34.36363636363636</v>
      </c>
      <c r="K30" s="7">
        <f t="shared" si="2"/>
        <v>31.5</v>
      </c>
      <c r="L30" s="7">
        <f t="shared" si="2"/>
        <v>29.076923076923073</v>
      </c>
      <c r="M30" s="7">
        <f t="shared" si="2"/>
        <v>27</v>
      </c>
      <c r="N30" s="7">
        <f t="shared" si="2"/>
        <v>25.2</v>
      </c>
      <c r="O30" s="7">
        <f t="shared" si="2"/>
        <v>23.625</v>
      </c>
    </row>
    <row r="31" spans="2:15" ht="12.75" customHeight="1" x14ac:dyDescent="0.2">
      <c r="B31" s="6">
        <v>31</v>
      </c>
      <c r="C31" s="7">
        <f t="shared" si="2"/>
        <v>97.649999999999991</v>
      </c>
      <c r="D31" s="7">
        <f t="shared" si="2"/>
        <v>78.12</v>
      </c>
      <c r="E31" s="7">
        <f t="shared" si="2"/>
        <v>65.100000000000009</v>
      </c>
      <c r="F31" s="7">
        <f t="shared" si="2"/>
        <v>55.800000000000004</v>
      </c>
      <c r="G31" s="7">
        <f t="shared" si="2"/>
        <v>48.824999999999996</v>
      </c>
      <c r="H31" s="7">
        <f t="shared" si="2"/>
        <v>43.4</v>
      </c>
      <c r="I31" s="7">
        <f t="shared" si="2"/>
        <v>39.06</v>
      </c>
      <c r="J31" s="7">
        <f t="shared" si="2"/>
        <v>35.509090909090908</v>
      </c>
      <c r="K31" s="7">
        <f t="shared" si="2"/>
        <v>32.550000000000004</v>
      </c>
      <c r="L31" s="7">
        <f t="shared" si="2"/>
        <v>30.046153846153846</v>
      </c>
      <c r="M31" s="7">
        <f t="shared" si="2"/>
        <v>27.900000000000002</v>
      </c>
      <c r="N31" s="7">
        <f t="shared" si="2"/>
        <v>26.040000000000003</v>
      </c>
      <c r="O31" s="7">
        <f t="shared" si="2"/>
        <v>24.412499999999998</v>
      </c>
    </row>
    <row r="32" spans="2:15" ht="12.75" customHeight="1" x14ac:dyDescent="0.2">
      <c r="B32" s="1">
        <v>32</v>
      </c>
      <c r="C32" s="7">
        <f t="shared" si="2"/>
        <v>100.8</v>
      </c>
      <c r="D32" s="7">
        <f t="shared" si="2"/>
        <v>80.64</v>
      </c>
      <c r="E32" s="7">
        <f t="shared" si="2"/>
        <v>67.199999999999989</v>
      </c>
      <c r="F32" s="7">
        <f t="shared" si="2"/>
        <v>57.599999999999994</v>
      </c>
      <c r="G32" s="7">
        <f t="shared" si="2"/>
        <v>50.4</v>
      </c>
      <c r="H32" s="7">
        <f t="shared" si="2"/>
        <v>44.8</v>
      </c>
      <c r="I32" s="7">
        <f t="shared" si="2"/>
        <v>40.32</v>
      </c>
      <c r="J32" s="7">
        <f t="shared" si="2"/>
        <v>36.654545454545456</v>
      </c>
      <c r="K32" s="7">
        <f t="shared" si="2"/>
        <v>33.599999999999994</v>
      </c>
      <c r="L32" s="7">
        <f t="shared" si="2"/>
        <v>31.015384615384615</v>
      </c>
      <c r="M32" s="7">
        <f t="shared" si="2"/>
        <v>28.799999999999997</v>
      </c>
      <c r="N32" s="7">
        <f t="shared" si="2"/>
        <v>26.88</v>
      </c>
      <c r="O32" s="7">
        <f t="shared" si="2"/>
        <v>25.2</v>
      </c>
    </row>
    <row r="33" spans="2:15" ht="12.75" customHeight="1" x14ac:dyDescent="0.2">
      <c r="B33" s="6">
        <v>33</v>
      </c>
      <c r="C33" s="7">
        <f t="shared" si="2"/>
        <v>103.95</v>
      </c>
      <c r="D33" s="7">
        <f t="shared" si="2"/>
        <v>83.16</v>
      </c>
      <c r="E33" s="7">
        <f t="shared" si="2"/>
        <v>69.3</v>
      </c>
      <c r="F33" s="7">
        <f t="shared" si="2"/>
        <v>59.4</v>
      </c>
      <c r="G33" s="7">
        <f t="shared" si="2"/>
        <v>51.975000000000001</v>
      </c>
      <c r="H33" s="7">
        <f t="shared" si="2"/>
        <v>46.199999999999996</v>
      </c>
      <c r="I33" s="7">
        <f t="shared" si="2"/>
        <v>41.58</v>
      </c>
      <c r="J33" s="7">
        <f t="shared" si="2"/>
        <v>37.799999999999997</v>
      </c>
      <c r="K33" s="7">
        <f t="shared" si="2"/>
        <v>34.65</v>
      </c>
      <c r="L33" s="7">
        <f t="shared" si="2"/>
        <v>31.984615384615381</v>
      </c>
      <c r="M33" s="7">
        <f t="shared" si="2"/>
        <v>29.7</v>
      </c>
      <c r="N33" s="7">
        <f t="shared" si="2"/>
        <v>27.720000000000002</v>
      </c>
      <c r="O33" s="7">
        <f t="shared" si="2"/>
        <v>25.987500000000001</v>
      </c>
    </row>
    <row r="34" spans="2:15" ht="12.75" customHeight="1" x14ac:dyDescent="0.2">
      <c r="B34" s="1">
        <v>34</v>
      </c>
      <c r="C34" s="7">
        <f t="shared" si="2"/>
        <v>107.1</v>
      </c>
      <c r="D34" s="7">
        <f t="shared" si="2"/>
        <v>85.679999999999993</v>
      </c>
      <c r="E34" s="7">
        <f t="shared" si="2"/>
        <v>71.400000000000006</v>
      </c>
      <c r="F34" s="7">
        <f t="shared" si="2"/>
        <v>61.199999999999996</v>
      </c>
      <c r="G34" s="7">
        <f t="shared" si="2"/>
        <v>53.55</v>
      </c>
      <c r="H34" s="7">
        <f t="shared" si="2"/>
        <v>47.599999999999994</v>
      </c>
      <c r="I34" s="7">
        <f t="shared" si="2"/>
        <v>42.839999999999996</v>
      </c>
      <c r="J34" s="7">
        <f t="shared" si="2"/>
        <v>38.945454545454545</v>
      </c>
      <c r="K34" s="7">
        <f t="shared" si="2"/>
        <v>35.700000000000003</v>
      </c>
      <c r="L34" s="7">
        <f t="shared" si="2"/>
        <v>32.95384615384615</v>
      </c>
      <c r="M34" s="7">
        <f t="shared" si="2"/>
        <v>30.599999999999998</v>
      </c>
      <c r="N34" s="7">
        <f t="shared" si="2"/>
        <v>28.56</v>
      </c>
      <c r="O34" s="7">
        <f t="shared" si="2"/>
        <v>26.774999999999999</v>
      </c>
    </row>
    <row r="35" spans="2:15" ht="12.75" customHeight="1" x14ac:dyDescent="0.2">
      <c r="B35" s="6">
        <v>35</v>
      </c>
      <c r="C35" s="7">
        <f t="shared" si="2"/>
        <v>110.25</v>
      </c>
      <c r="D35" s="7">
        <f t="shared" si="2"/>
        <v>88.2</v>
      </c>
      <c r="E35" s="7">
        <f t="shared" si="2"/>
        <v>73.5</v>
      </c>
      <c r="F35" s="7">
        <f t="shared" si="2"/>
        <v>63</v>
      </c>
      <c r="G35" s="7">
        <f t="shared" si="2"/>
        <v>55.125</v>
      </c>
      <c r="H35" s="7">
        <f t="shared" si="2"/>
        <v>49</v>
      </c>
      <c r="I35" s="7">
        <f t="shared" si="2"/>
        <v>44.1</v>
      </c>
      <c r="J35" s="7">
        <f t="shared" si="2"/>
        <v>40.090909090909086</v>
      </c>
      <c r="K35" s="7">
        <f t="shared" si="2"/>
        <v>36.75</v>
      </c>
      <c r="L35" s="7">
        <f t="shared" si="2"/>
        <v>33.923076923076927</v>
      </c>
      <c r="M35" s="7">
        <f t="shared" si="2"/>
        <v>31.5</v>
      </c>
      <c r="N35" s="7">
        <f t="shared" si="2"/>
        <v>29.400000000000002</v>
      </c>
      <c r="O35" s="7">
        <f t="shared" si="2"/>
        <v>27.5625</v>
      </c>
    </row>
  </sheetData>
  <sheetProtection algorithmName="SHA-512" hashValue="pBQBet62KTRU+vO4Ko4IqK+NYe5CBJiTJbL5VkMatK0rWe24KoYxHaCM9xwWfTYDyrJ1n2F69/Hfad+6KFrQJQ==" saltValue="U/fjp4c4bFeg/d5RJWchiw==" spinCount="100000" sheet="1" objects="1" scenarios="1" selectLockedCells="1" selectUnlockedCells="1"/>
  <mergeCells count="16">
    <mergeCell ref="G4:I4"/>
    <mergeCell ref="G5:I5"/>
    <mergeCell ref="G7:I7"/>
    <mergeCell ref="B1:O1"/>
    <mergeCell ref="B6:F6"/>
    <mergeCell ref="B7:F7"/>
    <mergeCell ref="C2:F2"/>
    <mergeCell ref="K2:N2"/>
    <mergeCell ref="G2:I2"/>
    <mergeCell ref="G3:J3"/>
    <mergeCell ref="B8:O8"/>
    <mergeCell ref="B5:F5"/>
    <mergeCell ref="K5:O5"/>
    <mergeCell ref="K6:O6"/>
    <mergeCell ref="K7:O7"/>
    <mergeCell ref="G6:I6"/>
  </mergeCells>
  <phoneticPr fontId="0" type="noConversion"/>
  <conditionalFormatting sqref="C10:O35">
    <cfRule type="expression" dxfId="66" priority="4" stopIfTrue="1">
      <formula>AND(C10&gt;=30,C10&lt;40)</formula>
    </cfRule>
    <cfRule type="expression" dxfId="65" priority="5" stopIfTrue="1">
      <formula>AND(C10&gt;=20,C10&lt;30)</formula>
    </cfRule>
    <cfRule type="expression" dxfId="64" priority="6" stopIfTrue="1">
      <formula>AND(C10&gt;=0,C10&lt;20)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Selection Lists</vt:lpstr>
      <vt:lpstr>Match Info</vt:lpstr>
      <vt:lpstr>Pistol Course</vt:lpstr>
      <vt:lpstr>Rifle Course 1</vt:lpstr>
      <vt:lpstr>Rifle Course 2</vt:lpstr>
      <vt:lpstr>Rifle Course 3</vt:lpstr>
      <vt:lpstr>Rifle Troyer</vt:lpstr>
      <vt:lpstr>Pistol Troyer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Duran</dc:creator>
  <cp:lastModifiedBy>Jennifer Wylie</cp:lastModifiedBy>
  <cp:revision>0</cp:revision>
  <cp:lastPrinted>2017-11-24T17:44:26Z</cp:lastPrinted>
  <dcterms:created xsi:type="dcterms:W3CDTF">2005-05-09T04:16:57Z</dcterms:created>
  <dcterms:modified xsi:type="dcterms:W3CDTF">2023-08-07T13:23:15Z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1033-9.1.0.4674</vt:lpwstr>
  </property>
</Properties>
</file>